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35" windowWidth="24240" windowHeight="13740"/>
  </bookViews>
  <sheets>
    <sheet name="Februari 2018" sheetId="4" r:id="rId1"/>
  </sheets>
  <calcPr calcId="145621"/>
</workbook>
</file>

<file path=xl/calcChain.xml><?xml version="1.0" encoding="utf-8"?>
<calcChain xmlns="http://schemas.openxmlformats.org/spreadsheetml/2006/main">
  <c r="C441" i="4" l="1"/>
  <c r="E3" i="4" l="1"/>
  <c r="C3" i="4"/>
  <c r="E6" i="4"/>
  <c r="C6" i="4"/>
  <c r="E7" i="4"/>
  <c r="C7" i="4"/>
  <c r="E9" i="4"/>
  <c r="C9" i="4"/>
  <c r="E11" i="4"/>
  <c r="C11" i="4"/>
  <c r="E12" i="4"/>
  <c r="C12" i="4"/>
  <c r="E13" i="4"/>
  <c r="C13" i="4"/>
  <c r="E14" i="4"/>
  <c r="C14" i="4"/>
  <c r="E15" i="4"/>
  <c r="C15" i="4"/>
  <c r="E16" i="4"/>
  <c r="C16" i="4"/>
  <c r="E17" i="4"/>
  <c r="C17" i="4"/>
  <c r="E20" i="4"/>
  <c r="C20" i="4"/>
  <c r="E21" i="4"/>
  <c r="E22" i="4"/>
  <c r="C22" i="4"/>
  <c r="E26" i="4"/>
  <c r="C26" i="4"/>
  <c r="E27" i="4"/>
  <c r="C27" i="4"/>
  <c r="E28" i="4"/>
  <c r="C28" i="4"/>
  <c r="E29" i="4"/>
  <c r="E32" i="4"/>
  <c r="C32" i="4"/>
  <c r="E33" i="4"/>
  <c r="C33" i="4"/>
  <c r="E34" i="4"/>
  <c r="C34" i="4"/>
  <c r="E35" i="4"/>
  <c r="C35" i="4"/>
  <c r="E36" i="4"/>
  <c r="C36" i="4"/>
  <c r="E37" i="4"/>
  <c r="C37" i="4"/>
  <c r="E38" i="4"/>
  <c r="C38" i="4"/>
  <c r="E39" i="4"/>
  <c r="C39" i="4"/>
  <c r="E40" i="4"/>
  <c r="C40" i="4"/>
  <c r="E41" i="4"/>
  <c r="C41" i="4"/>
  <c r="E42" i="4"/>
  <c r="C42" i="4"/>
  <c r="E43" i="4"/>
  <c r="C43" i="4"/>
  <c r="E44" i="4"/>
  <c r="C44" i="4"/>
  <c r="E45" i="4"/>
  <c r="C45" i="4"/>
  <c r="E46" i="4"/>
  <c r="C46" i="4"/>
  <c r="E47" i="4"/>
  <c r="C47" i="4"/>
  <c r="E48" i="4"/>
  <c r="C48" i="4"/>
  <c r="E49" i="4"/>
  <c r="C49" i="4"/>
  <c r="E50" i="4"/>
  <c r="C50" i="4"/>
  <c r="E51" i="4"/>
  <c r="C51" i="4"/>
  <c r="E52" i="4"/>
  <c r="C52" i="4"/>
  <c r="E53" i="4"/>
  <c r="C53" i="4"/>
  <c r="E54" i="4"/>
  <c r="C54" i="4"/>
  <c r="E56" i="4"/>
  <c r="C56" i="4"/>
  <c r="E55" i="4"/>
  <c r="C55" i="4"/>
  <c r="E57" i="4"/>
  <c r="E58" i="4"/>
  <c r="C58" i="4"/>
  <c r="E59" i="4"/>
  <c r="C59" i="4"/>
  <c r="E60" i="4"/>
  <c r="C60" i="4"/>
  <c r="E61" i="4"/>
  <c r="C61" i="4"/>
  <c r="E62" i="4"/>
  <c r="C62" i="4"/>
  <c r="E63" i="4"/>
  <c r="C63" i="4"/>
  <c r="E64" i="4"/>
  <c r="E65" i="4"/>
  <c r="C65" i="4"/>
  <c r="E66" i="4"/>
  <c r="E67" i="4"/>
  <c r="C67" i="4"/>
  <c r="E68" i="4"/>
  <c r="C68" i="4"/>
  <c r="E69" i="4"/>
  <c r="E70" i="4"/>
  <c r="C70" i="4"/>
  <c r="E71" i="4"/>
  <c r="C71" i="4"/>
  <c r="E72" i="4"/>
  <c r="E73" i="4"/>
  <c r="C73" i="4"/>
  <c r="E74" i="4"/>
  <c r="C74" i="4"/>
  <c r="E75" i="4"/>
  <c r="C75" i="4"/>
  <c r="E76" i="4"/>
  <c r="E77" i="4"/>
  <c r="C77" i="4"/>
  <c r="E78" i="4"/>
  <c r="E79" i="4"/>
  <c r="C79" i="4"/>
  <c r="E80" i="4"/>
  <c r="C80" i="4"/>
  <c r="E81" i="4"/>
  <c r="C81" i="4"/>
  <c r="E87" i="4"/>
  <c r="C87" i="4"/>
  <c r="E84" i="4"/>
  <c r="C84" i="4"/>
  <c r="E86" i="4"/>
  <c r="C86" i="4"/>
  <c r="E85" i="4"/>
  <c r="C85" i="4"/>
  <c r="E82" i="4"/>
  <c r="C82" i="4"/>
  <c r="E83" i="4"/>
  <c r="C83" i="4"/>
  <c r="E89" i="4"/>
  <c r="C89" i="4"/>
  <c r="E88" i="4"/>
  <c r="C88" i="4"/>
  <c r="E90" i="4"/>
  <c r="C90" i="4"/>
  <c r="E91" i="4"/>
  <c r="C91" i="4"/>
  <c r="E92" i="4"/>
  <c r="C92" i="4"/>
  <c r="E93" i="4"/>
  <c r="C93" i="4"/>
  <c r="E94" i="4"/>
  <c r="C94" i="4"/>
  <c r="E96" i="4"/>
  <c r="C96" i="4"/>
  <c r="E95" i="4"/>
  <c r="C95" i="4"/>
  <c r="E97" i="4"/>
  <c r="C97" i="4"/>
  <c r="E98" i="4"/>
  <c r="C98" i="4"/>
  <c r="E99" i="4"/>
  <c r="E101" i="4"/>
  <c r="C101" i="4"/>
  <c r="E102" i="4"/>
  <c r="C102" i="4"/>
  <c r="E104" i="4"/>
  <c r="C104" i="4"/>
  <c r="E105" i="4"/>
  <c r="C105" i="4"/>
  <c r="E106" i="4"/>
  <c r="C106" i="4"/>
  <c r="E108" i="4"/>
  <c r="C108" i="4"/>
  <c r="E107" i="4"/>
  <c r="C107" i="4"/>
  <c r="E109" i="4"/>
  <c r="C109" i="4"/>
  <c r="E110" i="4"/>
  <c r="C110" i="4"/>
  <c r="E112" i="4"/>
  <c r="C112" i="4"/>
  <c r="E111" i="4"/>
  <c r="C111" i="4"/>
  <c r="E113" i="4"/>
  <c r="C113" i="4"/>
  <c r="E114" i="4"/>
  <c r="C114" i="4"/>
  <c r="E115" i="4"/>
  <c r="C115" i="4"/>
  <c r="E116" i="4"/>
  <c r="C116" i="4"/>
  <c r="E117" i="4"/>
  <c r="C117" i="4"/>
  <c r="E118" i="4"/>
  <c r="C118" i="4"/>
  <c r="E120" i="4"/>
  <c r="C120" i="4"/>
  <c r="E119" i="4"/>
  <c r="C119" i="4"/>
  <c r="E121" i="4"/>
  <c r="C121" i="4"/>
  <c r="E122" i="4"/>
  <c r="C122" i="4"/>
  <c r="E123" i="4"/>
  <c r="C123" i="4"/>
  <c r="E124" i="4"/>
  <c r="C124" i="4"/>
  <c r="E125" i="4"/>
  <c r="C125" i="4"/>
  <c r="E126" i="4"/>
  <c r="C126" i="4"/>
  <c r="E127" i="4"/>
  <c r="C127" i="4"/>
  <c r="E128" i="4"/>
  <c r="C128" i="4"/>
  <c r="E129" i="4"/>
  <c r="C129" i="4"/>
  <c r="E130" i="4"/>
  <c r="C130" i="4"/>
  <c r="E131" i="4"/>
  <c r="C131" i="4"/>
  <c r="E133" i="4"/>
  <c r="C133" i="4"/>
  <c r="E132" i="4"/>
  <c r="C132" i="4"/>
  <c r="E134" i="4"/>
  <c r="E137" i="4"/>
  <c r="C137" i="4"/>
  <c r="E136" i="4"/>
  <c r="C136" i="4"/>
  <c r="E135" i="4"/>
  <c r="C135" i="4"/>
  <c r="E138" i="4"/>
  <c r="C138" i="4"/>
  <c r="E139" i="4"/>
  <c r="E140" i="4"/>
  <c r="C140" i="4"/>
  <c r="E142" i="4"/>
  <c r="E143" i="4"/>
  <c r="C143" i="4"/>
  <c r="E146" i="4"/>
  <c r="C146" i="4"/>
  <c r="E149" i="4"/>
  <c r="C149" i="4"/>
  <c r="E150" i="4"/>
  <c r="C150" i="4"/>
  <c r="E145" i="4"/>
  <c r="C145" i="4"/>
  <c r="E148" i="4"/>
  <c r="C148" i="4"/>
  <c r="E147" i="4"/>
  <c r="C147" i="4"/>
  <c r="E144" i="4"/>
  <c r="C144" i="4"/>
  <c r="E151" i="4"/>
  <c r="C151" i="4"/>
  <c r="E152" i="4"/>
  <c r="C152" i="4"/>
  <c r="E153" i="4"/>
  <c r="C153" i="4"/>
  <c r="E154" i="4"/>
  <c r="E156" i="4"/>
  <c r="C156" i="4"/>
  <c r="E155" i="4"/>
  <c r="C155" i="4"/>
  <c r="E157" i="4"/>
  <c r="E158" i="4"/>
  <c r="C158" i="4"/>
  <c r="E160" i="4"/>
  <c r="C160" i="4"/>
  <c r="E159" i="4"/>
  <c r="E161" i="4"/>
  <c r="C161" i="4"/>
  <c r="E162" i="4"/>
  <c r="C162" i="4"/>
  <c r="E163" i="4"/>
  <c r="C163" i="4"/>
  <c r="E165" i="4"/>
  <c r="E164" i="4"/>
  <c r="C164" i="4"/>
  <c r="E166" i="4"/>
  <c r="C166" i="4"/>
  <c r="E168" i="4"/>
  <c r="C168" i="4"/>
  <c r="E167" i="4"/>
  <c r="C167" i="4"/>
  <c r="E169" i="4"/>
  <c r="C169" i="4"/>
  <c r="E170" i="4"/>
  <c r="C170" i="4"/>
  <c r="E171" i="4"/>
  <c r="E172" i="4"/>
  <c r="C172" i="4"/>
  <c r="E173" i="4"/>
  <c r="C173" i="4"/>
  <c r="E175" i="4"/>
  <c r="C175" i="4"/>
  <c r="E174" i="4"/>
  <c r="C174" i="4"/>
  <c r="E176" i="4"/>
  <c r="C176" i="4"/>
  <c r="E177" i="4"/>
  <c r="C177" i="4"/>
  <c r="E178" i="4"/>
  <c r="C178" i="4"/>
  <c r="E179" i="4"/>
  <c r="C179" i="4"/>
  <c r="E181" i="4"/>
  <c r="C181" i="4"/>
  <c r="E180" i="4"/>
  <c r="C180" i="4"/>
  <c r="E182" i="4"/>
  <c r="C182" i="4"/>
  <c r="E184" i="4"/>
  <c r="C184" i="4"/>
  <c r="E185" i="4"/>
  <c r="C185" i="4"/>
  <c r="E186" i="4"/>
  <c r="E187" i="4"/>
  <c r="C187" i="4"/>
  <c r="E188" i="4"/>
  <c r="C188" i="4"/>
  <c r="E189" i="4"/>
  <c r="C189" i="4"/>
  <c r="E190" i="4"/>
  <c r="C190" i="4"/>
  <c r="E192" i="4"/>
  <c r="E191" i="4"/>
  <c r="C191" i="4"/>
  <c r="E193" i="4"/>
  <c r="C193" i="4"/>
  <c r="E194" i="4"/>
  <c r="C194" i="4"/>
  <c r="E198" i="4"/>
  <c r="C198" i="4"/>
  <c r="E197" i="4"/>
  <c r="C197" i="4"/>
  <c r="E196" i="4"/>
  <c r="C196" i="4"/>
  <c r="E195" i="4"/>
  <c r="C195" i="4"/>
  <c r="E199" i="4"/>
  <c r="C199" i="4"/>
  <c r="E200" i="4"/>
  <c r="C200" i="4"/>
  <c r="E201" i="4"/>
  <c r="C201" i="4"/>
  <c r="E202" i="4"/>
  <c r="E203" i="4"/>
  <c r="C203" i="4"/>
  <c r="E204" i="4"/>
  <c r="E205" i="4"/>
  <c r="C205" i="4"/>
  <c r="E207" i="4"/>
  <c r="C207" i="4"/>
  <c r="E206" i="4"/>
  <c r="E208" i="4"/>
  <c r="C208" i="4"/>
  <c r="E210" i="4"/>
  <c r="C210" i="4"/>
  <c r="E209" i="4"/>
  <c r="C209" i="4"/>
  <c r="E211" i="4"/>
  <c r="C211" i="4"/>
  <c r="E212" i="4"/>
  <c r="C212" i="4"/>
  <c r="E213" i="4"/>
  <c r="C213" i="4"/>
  <c r="E215" i="4"/>
  <c r="C215" i="4"/>
  <c r="E214" i="4"/>
  <c r="C214" i="4"/>
  <c r="E216" i="4"/>
  <c r="C216" i="4"/>
  <c r="E217" i="4"/>
  <c r="C217" i="4"/>
  <c r="E221" i="4"/>
  <c r="C221" i="4"/>
  <c r="E218" i="4"/>
  <c r="E220" i="4"/>
  <c r="C220" i="4"/>
  <c r="E219" i="4"/>
  <c r="C219" i="4"/>
  <c r="E222" i="4"/>
  <c r="C222" i="4"/>
  <c r="E223" i="4"/>
  <c r="C223" i="4"/>
  <c r="E224" i="4"/>
  <c r="C224" i="4"/>
  <c r="E225" i="4"/>
  <c r="E226" i="4"/>
  <c r="C226" i="4"/>
  <c r="E227" i="4"/>
  <c r="C227" i="4"/>
  <c r="E228" i="4"/>
  <c r="C228" i="4"/>
  <c r="E229" i="4"/>
  <c r="C229" i="4"/>
  <c r="E230" i="4"/>
  <c r="C230" i="4"/>
  <c r="E231" i="4"/>
  <c r="C231" i="4"/>
  <c r="E232" i="4"/>
  <c r="C232" i="4"/>
  <c r="E234" i="4"/>
  <c r="E233" i="4"/>
  <c r="C233" i="4"/>
  <c r="E235" i="4"/>
  <c r="C235" i="4"/>
  <c r="E236" i="4"/>
  <c r="C236" i="4"/>
  <c r="E237" i="4"/>
  <c r="C237" i="4"/>
  <c r="E238" i="4"/>
  <c r="C238" i="4"/>
  <c r="E239" i="4"/>
  <c r="C239" i="4"/>
  <c r="E240" i="4"/>
  <c r="C240" i="4"/>
  <c r="E241" i="4"/>
  <c r="C241" i="4"/>
  <c r="E242" i="4"/>
  <c r="C242" i="4"/>
  <c r="E243" i="4"/>
  <c r="C243" i="4"/>
  <c r="E245" i="4"/>
  <c r="C245" i="4"/>
  <c r="E244" i="4"/>
  <c r="C244" i="4"/>
  <c r="E246" i="4"/>
  <c r="C246" i="4"/>
  <c r="E247" i="4"/>
  <c r="C247" i="4"/>
  <c r="E248" i="4"/>
  <c r="C248" i="4"/>
  <c r="E249" i="4"/>
  <c r="E250" i="4"/>
  <c r="C250" i="4"/>
  <c r="E251" i="4"/>
  <c r="C251" i="4"/>
  <c r="E252" i="4"/>
  <c r="C252" i="4"/>
  <c r="E253" i="4"/>
  <c r="C253" i="4"/>
  <c r="E254" i="4"/>
  <c r="C254" i="4"/>
  <c r="E255" i="4"/>
  <c r="E256" i="4"/>
  <c r="C256" i="4"/>
  <c r="E257" i="4"/>
  <c r="E260" i="4"/>
  <c r="C260" i="4"/>
  <c r="E259" i="4"/>
  <c r="C259" i="4"/>
  <c r="E258" i="4"/>
  <c r="C258" i="4"/>
  <c r="E261" i="4"/>
  <c r="C261" i="4"/>
  <c r="E262" i="4"/>
  <c r="C262" i="4"/>
  <c r="E263" i="4"/>
  <c r="C263" i="4"/>
  <c r="E265" i="4"/>
  <c r="C265" i="4"/>
  <c r="E267" i="4"/>
  <c r="C267" i="4"/>
  <c r="E264" i="4"/>
  <c r="C264" i="4"/>
  <c r="E266" i="4"/>
  <c r="C266" i="4"/>
  <c r="E268" i="4"/>
  <c r="C268" i="4"/>
  <c r="E269" i="4"/>
  <c r="C269" i="4"/>
  <c r="E270" i="4"/>
  <c r="C270" i="4"/>
  <c r="E272" i="4"/>
  <c r="C272" i="4"/>
  <c r="E271" i="4"/>
  <c r="C271" i="4"/>
  <c r="E273" i="4"/>
  <c r="C273" i="4"/>
  <c r="E274" i="4"/>
  <c r="C274" i="4"/>
  <c r="E277" i="4"/>
  <c r="C277" i="4"/>
  <c r="E276" i="4"/>
  <c r="C276" i="4"/>
  <c r="E275" i="4"/>
  <c r="C275" i="4"/>
  <c r="E278" i="4"/>
  <c r="C278" i="4"/>
  <c r="E279" i="4"/>
  <c r="C279" i="4"/>
  <c r="E280" i="4"/>
  <c r="E281" i="4"/>
  <c r="C281" i="4"/>
  <c r="E282" i="4"/>
  <c r="C282" i="4"/>
  <c r="E283" i="4"/>
  <c r="C283" i="4"/>
  <c r="E284" i="4"/>
  <c r="C284" i="4"/>
  <c r="E285" i="4"/>
  <c r="C285" i="4"/>
  <c r="E286" i="4"/>
  <c r="C286" i="4"/>
  <c r="E287" i="4"/>
  <c r="C287" i="4"/>
  <c r="E288" i="4"/>
  <c r="C288" i="4"/>
  <c r="E290" i="4"/>
  <c r="C290" i="4"/>
  <c r="E289" i="4"/>
  <c r="C289" i="4"/>
  <c r="E291" i="4"/>
  <c r="C291" i="4"/>
  <c r="E292" i="4"/>
  <c r="C292" i="4"/>
  <c r="E293" i="4"/>
  <c r="C293" i="4"/>
  <c r="E295" i="4"/>
  <c r="C295" i="4"/>
  <c r="E294" i="4"/>
  <c r="C294" i="4"/>
  <c r="E296" i="4"/>
  <c r="C296" i="4"/>
  <c r="E298" i="4"/>
  <c r="C298" i="4"/>
  <c r="E297" i="4"/>
  <c r="C297" i="4"/>
  <c r="E299" i="4"/>
  <c r="C299" i="4"/>
  <c r="E300" i="4"/>
  <c r="C300" i="4"/>
  <c r="E301" i="4"/>
  <c r="C301" i="4"/>
  <c r="E302" i="4"/>
  <c r="C302" i="4"/>
  <c r="E303" i="4"/>
  <c r="C303" i="4"/>
  <c r="E304" i="4"/>
  <c r="C304" i="4"/>
  <c r="E305" i="4"/>
  <c r="C305" i="4"/>
  <c r="E306" i="4"/>
  <c r="E308" i="4"/>
  <c r="C308" i="4"/>
  <c r="E307" i="4"/>
  <c r="C307" i="4"/>
  <c r="E309" i="4"/>
  <c r="C309" i="4"/>
  <c r="E310" i="4"/>
  <c r="C310" i="4"/>
  <c r="E311" i="4"/>
  <c r="C311" i="4"/>
  <c r="E313" i="4"/>
  <c r="C313" i="4"/>
  <c r="E312" i="4"/>
  <c r="C312" i="4"/>
  <c r="E315" i="4"/>
  <c r="C315" i="4"/>
  <c r="E314" i="4"/>
  <c r="C314" i="4"/>
  <c r="E316" i="4"/>
  <c r="C316" i="4"/>
  <c r="E318" i="4"/>
  <c r="C318" i="4"/>
  <c r="E317" i="4"/>
  <c r="C317" i="4"/>
  <c r="E319" i="4"/>
  <c r="C319" i="4"/>
  <c r="E322" i="4"/>
  <c r="C322" i="4"/>
  <c r="E323" i="4"/>
  <c r="C323" i="4"/>
  <c r="E321" i="4"/>
  <c r="C321" i="4"/>
  <c r="E320" i="4"/>
  <c r="C320" i="4"/>
  <c r="E325" i="4"/>
  <c r="C325" i="4"/>
  <c r="E324" i="4"/>
  <c r="C324" i="4"/>
  <c r="E326" i="4"/>
  <c r="C326" i="4"/>
  <c r="E327" i="4"/>
  <c r="C327" i="4"/>
  <c r="E328" i="4"/>
  <c r="C328" i="4"/>
  <c r="E329" i="4"/>
  <c r="E330" i="4"/>
  <c r="C330" i="4"/>
  <c r="E331" i="4"/>
  <c r="C331" i="4"/>
  <c r="E332" i="4"/>
  <c r="C332" i="4"/>
  <c r="E333" i="4"/>
  <c r="C333" i="4"/>
  <c r="E335" i="4"/>
  <c r="C335" i="4"/>
  <c r="E334" i="4"/>
  <c r="C334" i="4"/>
  <c r="E336" i="4"/>
  <c r="C336" i="4"/>
  <c r="E337" i="4"/>
  <c r="C337" i="4"/>
  <c r="E338" i="4"/>
  <c r="C338" i="4"/>
  <c r="E339" i="4"/>
  <c r="C339" i="4"/>
  <c r="E346" i="4"/>
  <c r="C346" i="4"/>
  <c r="E340" i="4"/>
  <c r="E343" i="4"/>
  <c r="C343" i="4"/>
  <c r="E342" i="4"/>
  <c r="C342" i="4"/>
  <c r="E344" i="4"/>
  <c r="C344" i="4"/>
  <c r="E341" i="4"/>
  <c r="C341" i="4"/>
  <c r="E345" i="4"/>
  <c r="C345" i="4"/>
  <c r="E347" i="4"/>
  <c r="C347" i="4"/>
  <c r="E348" i="4"/>
  <c r="E349" i="4"/>
  <c r="C349" i="4"/>
  <c r="E353" i="4"/>
  <c r="C353" i="4"/>
  <c r="E352" i="4"/>
  <c r="C352" i="4"/>
  <c r="E351" i="4"/>
  <c r="C351" i="4"/>
  <c r="E350" i="4"/>
  <c r="C350" i="4"/>
  <c r="E356" i="4"/>
  <c r="C356" i="4"/>
  <c r="E355" i="4"/>
  <c r="C355" i="4"/>
  <c r="E354" i="4"/>
  <c r="C354" i="4"/>
  <c r="E357" i="4"/>
  <c r="C357" i="4"/>
  <c r="E358" i="4"/>
  <c r="C358" i="4"/>
  <c r="E360" i="4"/>
  <c r="C360" i="4"/>
  <c r="E359" i="4"/>
  <c r="C359" i="4"/>
  <c r="E361" i="4"/>
  <c r="C361" i="4"/>
  <c r="E363" i="4"/>
  <c r="C363" i="4"/>
  <c r="E362" i="4"/>
  <c r="C362" i="4"/>
  <c r="E383" i="4"/>
  <c r="C383" i="4"/>
  <c r="E372" i="4"/>
  <c r="C372" i="4"/>
  <c r="E380" i="4"/>
  <c r="C380" i="4"/>
  <c r="E377" i="4"/>
  <c r="C377" i="4"/>
  <c r="E378" i="4"/>
  <c r="C378" i="4"/>
  <c r="E367" i="4"/>
  <c r="C367" i="4"/>
  <c r="E368" i="4"/>
  <c r="C368" i="4"/>
  <c r="E381" i="4"/>
  <c r="C381" i="4"/>
  <c r="E365" i="4"/>
  <c r="C365" i="4"/>
  <c r="E370" i="4"/>
  <c r="C370" i="4"/>
  <c r="E369" i="4"/>
  <c r="C369" i="4"/>
  <c r="E375" i="4"/>
  <c r="C375" i="4"/>
  <c r="E374" i="4"/>
  <c r="C374" i="4"/>
  <c r="E371" i="4"/>
  <c r="C371" i="4"/>
  <c r="E364" i="4"/>
  <c r="C364" i="4"/>
  <c r="E379" i="4"/>
  <c r="C379" i="4"/>
  <c r="E373" i="4"/>
  <c r="C373" i="4"/>
  <c r="E366" i="4"/>
  <c r="C366" i="4"/>
  <c r="E376" i="4"/>
  <c r="C376" i="4"/>
  <c r="E382" i="4"/>
  <c r="C382" i="4"/>
  <c r="E384" i="4"/>
  <c r="C384" i="4"/>
  <c r="E389" i="4"/>
  <c r="C389" i="4"/>
  <c r="E388" i="4"/>
  <c r="C388" i="4"/>
  <c r="E387" i="4"/>
  <c r="C387" i="4"/>
  <c r="E386" i="4"/>
  <c r="C386" i="4"/>
  <c r="E385" i="4"/>
  <c r="C385" i="4"/>
  <c r="E390" i="4"/>
  <c r="C390" i="4"/>
  <c r="E391" i="4"/>
  <c r="E392" i="4"/>
  <c r="C392" i="4"/>
  <c r="E394" i="4"/>
  <c r="C394" i="4"/>
  <c r="E393" i="4"/>
  <c r="C393" i="4"/>
  <c r="E395" i="4"/>
  <c r="C395" i="4"/>
  <c r="E396" i="4"/>
  <c r="C396" i="4"/>
  <c r="E397" i="4"/>
  <c r="C397" i="4"/>
  <c r="E398" i="4"/>
  <c r="C398" i="4"/>
  <c r="E399" i="4"/>
  <c r="C399" i="4"/>
  <c r="E400" i="4"/>
  <c r="C400" i="4"/>
  <c r="E401" i="4"/>
  <c r="C401" i="4"/>
  <c r="E404" i="4"/>
  <c r="C404" i="4"/>
  <c r="E403" i="4"/>
  <c r="C403" i="4"/>
  <c r="E402" i="4"/>
  <c r="C402" i="4"/>
  <c r="E405" i="4"/>
  <c r="C405" i="4"/>
  <c r="E406" i="4"/>
  <c r="C406" i="4"/>
  <c r="E407" i="4"/>
  <c r="C407" i="4"/>
  <c r="E409" i="4"/>
  <c r="C409" i="4"/>
  <c r="E408" i="4"/>
  <c r="C408" i="4"/>
  <c r="E410" i="4"/>
  <c r="E412" i="4"/>
  <c r="C412" i="4"/>
  <c r="E413" i="4"/>
  <c r="C413" i="4"/>
  <c r="E411" i="4"/>
  <c r="C411" i="4"/>
  <c r="E414" i="4"/>
  <c r="C414" i="4"/>
  <c r="E415" i="4"/>
  <c r="C415" i="4"/>
  <c r="E416" i="4"/>
  <c r="C416" i="4"/>
  <c r="E417" i="4"/>
  <c r="C417" i="4"/>
  <c r="E418" i="4"/>
  <c r="C418" i="4"/>
  <c r="E419" i="4"/>
  <c r="C419" i="4"/>
  <c r="E420" i="4"/>
  <c r="C420" i="4"/>
  <c r="E421" i="4"/>
  <c r="C421" i="4"/>
  <c r="E422" i="4"/>
  <c r="C422" i="4"/>
  <c r="E424" i="4"/>
  <c r="C424" i="4"/>
  <c r="E425" i="4"/>
  <c r="C425" i="4"/>
  <c r="E426" i="4"/>
  <c r="C426" i="4"/>
  <c r="E427" i="4"/>
  <c r="C427" i="4"/>
  <c r="E428" i="4"/>
  <c r="C428" i="4"/>
  <c r="E429" i="4"/>
  <c r="C429" i="4"/>
  <c r="E430" i="4"/>
  <c r="C430" i="4"/>
  <c r="E433" i="4"/>
  <c r="C433" i="4"/>
  <c r="E432" i="4"/>
  <c r="C432" i="4"/>
  <c r="E431" i="4"/>
  <c r="C431" i="4"/>
  <c r="E434" i="4"/>
  <c r="E435" i="4"/>
  <c r="C435" i="4"/>
  <c r="E436" i="4"/>
  <c r="C436" i="4"/>
  <c r="E437" i="4"/>
  <c r="C437" i="4"/>
  <c r="E438" i="4"/>
  <c r="C438" i="4"/>
  <c r="E439" i="4"/>
  <c r="C439" i="4"/>
  <c r="E440" i="4"/>
  <c r="C440" i="4"/>
  <c r="E442" i="4"/>
  <c r="C443" i="4"/>
  <c r="E444" i="4"/>
  <c r="C444" i="4"/>
  <c r="E445" i="4"/>
  <c r="C445" i="4"/>
  <c r="E447" i="4"/>
  <c r="C447" i="4"/>
  <c r="E446" i="4"/>
  <c r="C446" i="4"/>
  <c r="E448" i="4"/>
  <c r="C448" i="4"/>
  <c r="E449" i="4"/>
  <c r="C449" i="4"/>
  <c r="E451" i="4"/>
  <c r="C451" i="4"/>
  <c r="E450" i="4"/>
  <c r="C450" i="4"/>
  <c r="E452" i="4"/>
  <c r="C452" i="4"/>
  <c r="E453" i="4"/>
  <c r="C453" i="4"/>
  <c r="E454" i="4"/>
  <c r="E455" i="4"/>
  <c r="C455" i="4"/>
  <c r="E458" i="4"/>
  <c r="C458" i="4"/>
  <c r="E456" i="4"/>
  <c r="C456" i="4"/>
  <c r="E457" i="4"/>
  <c r="C457" i="4"/>
  <c r="E460" i="4"/>
  <c r="C460" i="4"/>
  <c r="E459" i="4"/>
  <c r="C459" i="4"/>
  <c r="E461" i="4"/>
  <c r="C461" i="4"/>
  <c r="E462" i="4"/>
  <c r="C462" i="4"/>
  <c r="E465" i="4"/>
  <c r="C465" i="4"/>
  <c r="E464" i="4"/>
  <c r="C464" i="4"/>
  <c r="E467" i="4"/>
  <c r="C467" i="4"/>
  <c r="E466" i="4"/>
  <c r="C466" i="4"/>
  <c r="E472" i="4"/>
  <c r="E471" i="4"/>
  <c r="C471" i="4"/>
  <c r="E470" i="4"/>
  <c r="C470" i="4"/>
  <c r="E469" i="4"/>
  <c r="C469" i="4"/>
  <c r="E468" i="4"/>
  <c r="C468" i="4"/>
  <c r="E473" i="4"/>
  <c r="C473" i="4"/>
  <c r="E477" i="4"/>
  <c r="C477" i="4"/>
  <c r="E475" i="4"/>
  <c r="C475" i="4"/>
  <c r="E474" i="4"/>
  <c r="C474" i="4"/>
  <c r="E476" i="4"/>
  <c r="C476" i="4"/>
  <c r="E478" i="4"/>
  <c r="C478" i="4"/>
  <c r="E482" i="4"/>
  <c r="C482" i="4"/>
  <c r="E483" i="4"/>
  <c r="C483" i="4"/>
  <c r="E481" i="4"/>
  <c r="C481" i="4"/>
  <c r="E484" i="4"/>
  <c r="C484" i="4"/>
  <c r="E485" i="4"/>
  <c r="C485" i="4"/>
  <c r="E486" i="4"/>
  <c r="C486" i="4"/>
  <c r="E487" i="4"/>
  <c r="C487" i="4"/>
  <c r="E488" i="4"/>
  <c r="E500" i="4"/>
  <c r="C500" i="4"/>
  <c r="E501" i="4"/>
  <c r="C501" i="4"/>
  <c r="E497" i="4"/>
  <c r="C497" i="4"/>
  <c r="E490" i="4"/>
  <c r="C490" i="4"/>
  <c r="E496" i="4"/>
  <c r="C496" i="4"/>
  <c r="E499" i="4"/>
  <c r="C499" i="4"/>
  <c r="E495" i="4"/>
  <c r="C495" i="4"/>
  <c r="E492" i="4"/>
  <c r="C492" i="4"/>
  <c r="E489" i="4"/>
  <c r="C489" i="4"/>
  <c r="E494" i="4"/>
  <c r="C494" i="4"/>
  <c r="E498" i="4"/>
  <c r="C498" i="4"/>
  <c r="E491" i="4"/>
  <c r="C491" i="4"/>
  <c r="E493" i="4"/>
  <c r="C493" i="4"/>
  <c r="E502" i="4"/>
  <c r="C502" i="4"/>
  <c r="E507" i="4"/>
  <c r="C507" i="4"/>
  <c r="E506" i="4"/>
  <c r="C506" i="4"/>
  <c r="E504" i="4"/>
  <c r="C504" i="4"/>
  <c r="E503" i="4"/>
  <c r="C503" i="4"/>
  <c r="E508" i="4"/>
  <c r="C508" i="4"/>
  <c r="E505" i="4"/>
  <c r="C505" i="4"/>
  <c r="E509" i="4"/>
  <c r="C509" i="4"/>
  <c r="E514" i="4"/>
  <c r="C514" i="4"/>
  <c r="E513" i="4"/>
  <c r="C513" i="4"/>
  <c r="E512" i="4"/>
  <c r="C512" i="4"/>
  <c r="E511" i="4"/>
  <c r="C511" i="4"/>
  <c r="E510" i="4"/>
  <c r="C510" i="4"/>
  <c r="E515" i="4"/>
  <c r="C515" i="4"/>
  <c r="E516" i="4"/>
  <c r="C516" i="4"/>
  <c r="E517" i="4"/>
  <c r="C517" i="4"/>
  <c r="E518" i="4"/>
  <c r="C518" i="4"/>
  <c r="E519" i="4"/>
  <c r="C519" i="4"/>
  <c r="E520" i="4"/>
  <c r="C520" i="4"/>
  <c r="E522" i="4"/>
  <c r="C522" i="4"/>
  <c r="E525" i="4"/>
  <c r="C525" i="4"/>
  <c r="E527" i="4"/>
  <c r="C527" i="4"/>
  <c r="E524" i="4"/>
  <c r="C524" i="4"/>
  <c r="E526" i="4"/>
  <c r="C526" i="4"/>
  <c r="E523" i="4"/>
  <c r="C523" i="4"/>
  <c r="E528" i="4"/>
  <c r="C528" i="4"/>
  <c r="E529" i="4"/>
  <c r="C529" i="4"/>
  <c r="E532" i="4"/>
  <c r="C532" i="4"/>
  <c r="E531" i="4"/>
  <c r="C531" i="4"/>
  <c r="E530" i="4"/>
  <c r="C530" i="4"/>
  <c r="E535" i="4"/>
  <c r="C535" i="4"/>
  <c r="E534" i="4"/>
  <c r="C534" i="4"/>
  <c r="E536" i="4"/>
  <c r="C536" i="4"/>
  <c r="E533" i="4"/>
  <c r="C533" i="4"/>
  <c r="E538" i="4"/>
  <c r="C538" i="4"/>
  <c r="E539" i="4"/>
  <c r="C539" i="4"/>
  <c r="E540" i="4"/>
  <c r="C540" i="4"/>
  <c r="E541" i="4"/>
  <c r="C541" i="4"/>
  <c r="E542" i="4"/>
  <c r="C542" i="4"/>
  <c r="E543" i="4"/>
  <c r="C543" i="4"/>
  <c r="E544" i="4"/>
  <c r="C544" i="4"/>
  <c r="E546" i="4"/>
  <c r="C546" i="4"/>
  <c r="E547" i="4"/>
  <c r="C547" i="4"/>
  <c r="E556" i="4"/>
  <c r="C556" i="4"/>
  <c r="E557" i="4"/>
  <c r="C557" i="4"/>
  <c r="E555" i="4"/>
  <c r="C555" i="4"/>
  <c r="E554" i="4"/>
  <c r="C554" i="4"/>
  <c r="E553" i="4"/>
  <c r="C553" i="4"/>
  <c r="E559" i="4"/>
  <c r="C559" i="4"/>
  <c r="E565" i="4"/>
  <c r="C565" i="4"/>
  <c r="E566" i="4"/>
  <c r="C566" i="4"/>
  <c r="E569" i="4"/>
  <c r="C569" i="4"/>
  <c r="E570" i="4"/>
  <c r="C570" i="4"/>
  <c r="E571" i="4"/>
  <c r="C571" i="4"/>
  <c r="E572" i="4"/>
  <c r="C572" i="4"/>
  <c r="E573" i="4"/>
  <c r="C573" i="4"/>
  <c r="E574" i="4"/>
  <c r="C574" i="4"/>
  <c r="E575" i="4"/>
  <c r="C575" i="4"/>
  <c r="E576" i="4"/>
  <c r="C576" i="4"/>
  <c r="E577" i="4"/>
  <c r="C577" i="4"/>
  <c r="E579" i="4"/>
  <c r="C579" i="4"/>
  <c r="E582" i="4"/>
  <c r="C582" i="4"/>
  <c r="E583" i="4"/>
  <c r="C583" i="4"/>
  <c r="E581" i="4"/>
  <c r="C581" i="4"/>
  <c r="E580" i="4"/>
  <c r="C580" i="4"/>
  <c r="E588" i="4"/>
  <c r="C588" i="4"/>
  <c r="E587" i="4"/>
  <c r="C587" i="4"/>
  <c r="E585" i="4"/>
  <c r="C585" i="4"/>
  <c r="E586" i="4"/>
  <c r="C586" i="4"/>
  <c r="E584" i="4"/>
  <c r="C584" i="4"/>
  <c r="E593" i="4"/>
  <c r="E590" i="4"/>
  <c r="C590" i="4"/>
  <c r="E589" i="4"/>
  <c r="C589" i="4"/>
  <c r="E591" i="4"/>
  <c r="C591" i="4"/>
  <c r="E592" i="4"/>
  <c r="C592" i="4"/>
  <c r="E594" i="4"/>
  <c r="C594" i="4"/>
  <c r="E597" i="4"/>
  <c r="C597" i="4"/>
  <c r="E598" i="4"/>
  <c r="C598" i="4"/>
  <c r="E596" i="4"/>
  <c r="C596" i="4"/>
  <c r="E601" i="4"/>
  <c r="C601" i="4"/>
  <c r="E600" i="4"/>
  <c r="C600" i="4"/>
  <c r="E599" i="4"/>
  <c r="C599" i="4"/>
  <c r="E602" i="4"/>
  <c r="C602" i="4"/>
  <c r="E603" i="4"/>
  <c r="C603" i="4"/>
  <c r="E605" i="4"/>
  <c r="C605" i="4"/>
  <c r="E604" i="4"/>
  <c r="C604" i="4"/>
  <c r="E612" i="4"/>
  <c r="C612" i="4"/>
  <c r="E611" i="4"/>
  <c r="C611" i="4"/>
  <c r="E610" i="4"/>
  <c r="C610" i="4"/>
  <c r="E609" i="4"/>
  <c r="C609" i="4"/>
  <c r="E608" i="4"/>
  <c r="C608" i="4"/>
  <c r="E618" i="4"/>
  <c r="C618" i="4"/>
  <c r="E617" i="4"/>
  <c r="C617" i="4"/>
  <c r="E615" i="4"/>
  <c r="C615" i="4"/>
  <c r="E616" i="4"/>
  <c r="C616" i="4"/>
  <c r="E619" i="4"/>
  <c r="C619" i="4"/>
  <c r="E624" i="4"/>
  <c r="C624" i="4"/>
  <c r="E625" i="4"/>
  <c r="C625" i="4"/>
  <c r="E629" i="4"/>
  <c r="C629" i="4"/>
  <c r="E631" i="4"/>
  <c r="C631" i="4"/>
  <c r="E630" i="4"/>
  <c r="C630" i="4"/>
  <c r="E634" i="4"/>
  <c r="C634" i="4"/>
  <c r="E641" i="4"/>
  <c r="C641" i="4"/>
  <c r="E643" i="4"/>
  <c r="C643" i="4"/>
  <c r="E642" i="4"/>
  <c r="C642" i="4"/>
  <c r="E644" i="4"/>
  <c r="C644" i="4"/>
  <c r="E645" i="4"/>
  <c r="C645" i="4"/>
  <c r="E647" i="4"/>
  <c r="C647" i="4"/>
  <c r="E646" i="4"/>
  <c r="C646" i="4"/>
  <c r="E648" i="4"/>
  <c r="C648" i="4"/>
  <c r="E652" i="4"/>
  <c r="C652" i="4"/>
  <c r="E651" i="4"/>
  <c r="C651" i="4"/>
  <c r="E650" i="4"/>
  <c r="C650" i="4"/>
  <c r="E649" i="4"/>
  <c r="C649" i="4"/>
  <c r="E654" i="4"/>
  <c r="C654" i="4"/>
  <c r="E653" i="4"/>
  <c r="C653" i="4"/>
  <c r="E656" i="4"/>
  <c r="E655" i="4"/>
  <c r="C655" i="4"/>
  <c r="E659" i="4"/>
  <c r="C659" i="4"/>
  <c r="E660" i="4"/>
  <c r="C660" i="4"/>
  <c r="E658" i="4"/>
  <c r="C658" i="4"/>
  <c r="E663" i="4"/>
  <c r="C663" i="4"/>
  <c r="E661" i="4"/>
  <c r="C661" i="4"/>
  <c r="E662" i="4"/>
  <c r="C662" i="4"/>
  <c r="E669" i="4"/>
  <c r="C669" i="4"/>
  <c r="E667" i="4"/>
  <c r="C667" i="4"/>
  <c r="E666" i="4"/>
  <c r="C666" i="4"/>
  <c r="E668" i="4"/>
  <c r="C668" i="4"/>
  <c r="E665" i="4"/>
  <c r="C665" i="4"/>
  <c r="E670" i="4"/>
  <c r="C670" i="4"/>
  <c r="E664" i="4"/>
  <c r="C664" i="4"/>
  <c r="E671" i="4"/>
  <c r="C671" i="4"/>
  <c r="E673" i="4"/>
  <c r="C673" i="4"/>
  <c r="E672" i="4"/>
  <c r="C672" i="4"/>
  <c r="E674" i="4"/>
  <c r="C674" i="4"/>
  <c r="E688" i="4"/>
  <c r="C688" i="4"/>
  <c r="E684" i="4"/>
  <c r="C684" i="4"/>
  <c r="E687" i="4"/>
  <c r="C687" i="4"/>
  <c r="E686" i="4"/>
  <c r="C686" i="4"/>
  <c r="E682" i="4"/>
  <c r="C682" i="4"/>
  <c r="E690" i="4"/>
  <c r="C690" i="4"/>
  <c r="E681" i="4"/>
  <c r="C681" i="4"/>
  <c r="E685" i="4"/>
  <c r="C685" i="4"/>
  <c r="E683" i="4"/>
  <c r="C683" i="4"/>
  <c r="E680" i="4"/>
  <c r="C680" i="4"/>
  <c r="E689" i="4"/>
  <c r="C689" i="4"/>
  <c r="E692" i="4"/>
  <c r="C692" i="4"/>
  <c r="E694" i="4"/>
  <c r="C694" i="4"/>
  <c r="E691" i="4"/>
  <c r="C691" i="4"/>
  <c r="E693" i="4"/>
  <c r="C693" i="4"/>
  <c r="E700" i="4"/>
  <c r="C700" i="4"/>
  <c r="E701" i="4"/>
  <c r="C701" i="4"/>
  <c r="E702" i="4"/>
  <c r="C702" i="4"/>
  <c r="E708" i="4"/>
  <c r="C708" i="4"/>
  <c r="E704" i="4"/>
  <c r="C704" i="4"/>
  <c r="E707" i="4"/>
  <c r="C707" i="4"/>
  <c r="E706" i="4"/>
  <c r="C706" i="4"/>
  <c r="E705" i="4"/>
  <c r="C705" i="4"/>
  <c r="E709" i="4"/>
  <c r="C709" i="4"/>
  <c r="E710" i="4"/>
  <c r="C710" i="4"/>
  <c r="E703" i="4"/>
  <c r="C703" i="4"/>
  <c r="E713" i="4"/>
  <c r="C713" i="4"/>
  <c r="E715" i="4"/>
  <c r="C715" i="4"/>
  <c r="E717" i="4"/>
  <c r="C717" i="4"/>
  <c r="E716" i="4"/>
  <c r="C716" i="4"/>
  <c r="E718" i="4"/>
  <c r="C718" i="4"/>
  <c r="E719" i="4"/>
  <c r="E720" i="4"/>
  <c r="C720" i="4"/>
  <c r="E726" i="4"/>
  <c r="C726" i="4"/>
  <c r="E725" i="4"/>
  <c r="C725" i="4"/>
  <c r="E723" i="4"/>
  <c r="C723" i="4"/>
  <c r="E724" i="4"/>
  <c r="C724" i="4"/>
  <c r="E729" i="4"/>
  <c r="C729" i="4"/>
  <c r="E728" i="4"/>
  <c r="C728" i="4"/>
  <c r="E727" i="4"/>
  <c r="C727" i="4"/>
  <c r="E732" i="4"/>
  <c r="C732" i="4"/>
  <c r="E731" i="4"/>
  <c r="C731" i="4"/>
  <c r="E735" i="4"/>
  <c r="C735" i="4"/>
  <c r="E734" i="4"/>
  <c r="C734" i="4"/>
  <c r="E733" i="4"/>
  <c r="C733" i="4"/>
  <c r="E741" i="4"/>
  <c r="C741" i="4"/>
  <c r="E740" i="4"/>
  <c r="C740" i="4"/>
  <c r="E742" i="4"/>
  <c r="C742" i="4"/>
  <c r="E743" i="4"/>
  <c r="C743" i="4"/>
  <c r="E747" i="4"/>
  <c r="C747" i="4"/>
  <c r="E745" i="4"/>
  <c r="C745" i="4"/>
  <c r="E748" i="4"/>
  <c r="C748" i="4"/>
  <c r="E744" i="4"/>
  <c r="C744" i="4"/>
  <c r="E746" i="4"/>
  <c r="C746" i="4"/>
  <c r="E750" i="4"/>
  <c r="C750" i="4"/>
  <c r="E759" i="4"/>
  <c r="C759" i="4"/>
  <c r="E763" i="4"/>
  <c r="C763" i="4"/>
  <c r="E765" i="4"/>
  <c r="C765" i="4"/>
  <c r="E764" i="4"/>
  <c r="C764" i="4"/>
  <c r="E766" i="4"/>
  <c r="C766" i="4"/>
  <c r="E767" i="4"/>
  <c r="C767" i="4"/>
  <c r="E775" i="4"/>
  <c r="C775" i="4"/>
  <c r="E776" i="4"/>
  <c r="C776" i="4"/>
  <c r="E777" i="4"/>
  <c r="C777" i="4"/>
  <c r="E786" i="4"/>
  <c r="C786" i="4"/>
  <c r="E785" i="4"/>
  <c r="C785" i="4"/>
  <c r="E783" i="4"/>
  <c r="C783" i="4"/>
  <c r="E784" i="4"/>
  <c r="C784" i="4"/>
  <c r="E788" i="4"/>
  <c r="C788" i="4"/>
  <c r="E791" i="4"/>
  <c r="C791" i="4"/>
  <c r="E790" i="4"/>
  <c r="C790" i="4"/>
  <c r="E789" i="4"/>
  <c r="C789" i="4"/>
  <c r="E794" i="4"/>
  <c r="C794" i="4"/>
  <c r="E792" i="4"/>
  <c r="C792" i="4"/>
  <c r="E793" i="4"/>
  <c r="C793" i="4"/>
  <c r="E795" i="4"/>
  <c r="C795" i="4"/>
  <c r="E800" i="4"/>
  <c r="C800" i="4"/>
  <c r="E798" i="4"/>
  <c r="C798" i="4"/>
  <c r="E797" i="4"/>
  <c r="C797" i="4"/>
  <c r="E801" i="4"/>
  <c r="C801" i="4"/>
  <c r="E799" i="4"/>
  <c r="C799" i="4"/>
  <c r="E802" i="4"/>
  <c r="C802" i="4"/>
  <c r="E807" i="4"/>
  <c r="C807" i="4"/>
  <c r="E805" i="4"/>
  <c r="C805" i="4"/>
  <c r="E806" i="4"/>
  <c r="C806" i="4"/>
  <c r="E809" i="4"/>
  <c r="C809" i="4"/>
  <c r="E811" i="4"/>
  <c r="C811" i="4"/>
  <c r="E814" i="4"/>
  <c r="C814" i="4"/>
  <c r="E817" i="4"/>
  <c r="C817" i="4"/>
  <c r="E818" i="4"/>
  <c r="C818" i="4"/>
  <c r="E819" i="4"/>
  <c r="C819" i="4"/>
  <c r="E820" i="4"/>
  <c r="C820" i="4"/>
  <c r="E832" i="4"/>
  <c r="C832" i="4"/>
  <c r="E831" i="4"/>
  <c r="C831" i="4"/>
  <c r="E830" i="4"/>
  <c r="C830" i="4"/>
  <c r="E880" i="4"/>
  <c r="C880" i="4"/>
  <c r="E879" i="4"/>
  <c r="C879" i="4"/>
  <c r="E881" i="4"/>
  <c r="C881" i="4"/>
  <c r="E883" i="4"/>
  <c r="C883" i="4"/>
  <c r="E882" i="4"/>
  <c r="C882" i="4"/>
</calcChain>
</file>

<file path=xl/sharedStrings.xml><?xml version="1.0" encoding="utf-8"?>
<sst xmlns="http://schemas.openxmlformats.org/spreadsheetml/2006/main" count="2565" uniqueCount="2168">
  <si>
    <t>Pub_titel</t>
  </si>
  <si>
    <t>Pub_auteur</t>
  </si>
  <si>
    <t>Pub_jaar</t>
  </si>
  <si>
    <t>Pub_uitgeverij</t>
  </si>
  <si>
    <t>Bij Project Naam</t>
  </si>
  <si>
    <t>Factors explaining the innovative output of firms in the Dutch agrifood industry</t>
  </si>
  <si>
    <t>Batterink, Maarten &amp; Emiel Wubben, Onno Omato</t>
  </si>
  <si>
    <t>Universiteit Wageningen</t>
  </si>
  <si>
    <t>Factors related to innovative output in the Dutch agrifood industry</t>
  </si>
  <si>
    <t>Batterink, M.H. &amp; E.F.M. Wubben, S.W.F. Omta (WUR)</t>
  </si>
  <si>
    <t>Competition and innovation: Together a tricky rollercoaster for productivity</t>
  </si>
  <si>
    <t>Wiel, H.P. van der</t>
  </si>
  <si>
    <t>Universiteit Tilburg:CentER</t>
  </si>
  <si>
    <t>Competition law and profits: A dynamic panel data analysis for Dutch manufacturing firms</t>
  </si>
  <si>
    <t>Brouwer, E. &amp; Ozbugday, F.C.</t>
  </si>
  <si>
    <t>Applied Economics Letters, 19(12), 1203-1206</t>
  </si>
  <si>
    <t>Competition Law, Networks and Innovation</t>
  </si>
  <si>
    <t>Applied Economics Letters, 19(8), 775-778</t>
  </si>
  <si>
    <t>Beers, Cees van &amp; Fardad Zand</t>
  </si>
  <si>
    <t>CBS</t>
  </si>
  <si>
    <t>ICT en Complexe Waardeketens (ICWAS): Eindverslag enquêtes 2004 voor de Nederlandse reis- en groothandelsector.</t>
  </si>
  <si>
    <t>Beers, Cees van</t>
  </si>
  <si>
    <t>TUD</t>
  </si>
  <si>
    <t>Beers, Cees van, Fardad Zand</t>
  </si>
  <si>
    <t>Mammography Screening and Risk of Breast Cancer Death: A Population-Based Case -Control Study</t>
  </si>
  <si>
    <t>Otto, Suzie J., Jacques Fracheboud, André L.M. Verbeek, et al.</t>
  </si>
  <si>
    <t>Cancer Epidemiology, biomarkers &amp; prevention</t>
  </si>
  <si>
    <t>Micro-evidence on the Determinants of Innovativeness in the Netherlands.</t>
  </si>
  <si>
    <t>Smit, M. J., Abreu, M., &amp; de Groot, H. L. F.</t>
  </si>
  <si>
    <t>Papers in Regional Science</t>
  </si>
  <si>
    <t>DE VAART DER VOLKEREN Buitenlandse bedrijven en hun werknemers in Amsterdam en de rest van Nederland</t>
  </si>
  <si>
    <t>Smit Martijn J., Jan Möhlmann, Otto Raspe &amp; Henri L.F. de Groot</t>
  </si>
  <si>
    <t>Planbureau voor de Leefomgeving</t>
  </si>
  <si>
    <t>Innovation through new blood</t>
  </si>
  <si>
    <t>Smit, J. Martijn</t>
  </si>
  <si>
    <t>The Annals of Regional Science</t>
  </si>
  <si>
    <t>The relationship between competition and innovation: measuring innovation and causality</t>
  </si>
  <si>
    <t>Lamoen, Ryan van</t>
  </si>
  <si>
    <t>Ridderprint, Ridderkerk</t>
  </si>
  <si>
    <t>Atlas voor Gemeenten</t>
  </si>
  <si>
    <t>Woerkens, Clemens van</t>
  </si>
  <si>
    <t>VOC-uitgevers</t>
  </si>
  <si>
    <t>Peeters, T. &amp; Martin X.</t>
  </si>
  <si>
    <t>R&amp;D Management.</t>
  </si>
  <si>
    <t>Breast cancer screening effectiveness and the case-referent design: a well matched pair</t>
  </si>
  <si>
    <t>Paap, Ellen</t>
  </si>
  <si>
    <t>UMC_RUN</t>
  </si>
  <si>
    <t>Breast cancer screening halves the risk of breast cancer death: A case-referent study</t>
  </si>
  <si>
    <t>Paap, E. et al.</t>
  </si>
  <si>
    <t>The Breast</t>
  </si>
  <si>
    <t>Minor influence of self-selection bias on the effectiveness of breast cancer screening in case-control studies in the Netherlands</t>
  </si>
  <si>
    <t>Paap, Ellen &amp; Andre Verbeek, Donella Puliti, Mireille Broeders and Eugenio Paci</t>
  </si>
  <si>
    <t>Journal of Medical Screening, Vol. 18</t>
  </si>
  <si>
    <t>Energiebesparing in Nederland 2000-2010</t>
  </si>
  <si>
    <t>Gerdes, J. &amp; P. Boonekamp</t>
  </si>
  <si>
    <t>ECN-E--12-061</t>
  </si>
  <si>
    <t>Figarska SM, Vonk JM, van Diemen CC, Postma DS, Boezen HM</t>
  </si>
  <si>
    <t>PLoS One 4;8(7):e67768.</t>
  </si>
  <si>
    <t>Figarska SM, Boezen HM, Vonk JM</t>
  </si>
  <si>
    <t>Eur J Epidemiol;27(11):867-76.</t>
  </si>
  <si>
    <t>NFE2L2 polymorphisms, mortality, and metabolism in the general population</t>
  </si>
  <si>
    <t>Figarska SM, Vonk JM, Boezen HM</t>
  </si>
  <si>
    <t>Physiol Genomics 15;46(12):411-7</t>
  </si>
  <si>
    <t>Serum uric acid levels and cancer mortality risk among males in a large general population-based cohort study</t>
  </si>
  <si>
    <t>Taghizadeh, N. , J. M. Vonk &amp; H. M. Boezen</t>
  </si>
  <si>
    <t>Cancer Causes Control 25:1075-1080. DOI 10.1007/s10552-014-0408-0</t>
  </si>
  <si>
    <t>SIRT1 polymorphism, long-term survival and glucose tolerance in the general population</t>
  </si>
  <si>
    <t>PLoS One;8(3):e58636</t>
  </si>
  <si>
    <t>The Economic Performance Report on the EU Fish Processing (STECF-14-21)</t>
  </si>
  <si>
    <t>Scientific, Technical and Economic Committee for Fisheries (STECF)</t>
  </si>
  <si>
    <t>Publications Office of the European Union, EUR 27029 EN, JRC 93340, 355pp.</t>
  </si>
  <si>
    <t>Immigrant entrepreneurship on the move: a longitudinal analysis of first and second generation immigrant entrepreneurship in the Netherlands</t>
  </si>
  <si>
    <t>Beckers, Pascal &amp; Boris F. Blumberg</t>
  </si>
  <si>
    <t>UNU-MERIT</t>
  </si>
  <si>
    <t>Immigrant entrepreneurship on the move: a longitudinal analysis of first-and second-generation immigrant entrepreneurship in the Netherlands</t>
  </si>
  <si>
    <t>Entrepreneurship &amp; Regional Development</t>
  </si>
  <si>
    <t>Segregation in neighbourhoods and labour market outcomes of immigrants: Evidence from random assignment in the Netherlands</t>
  </si>
  <si>
    <t>Beckers, Pascal &amp; Lex Borghans</t>
  </si>
  <si>
    <t>UNU_MERIT</t>
  </si>
  <si>
    <t>Fouarge, Didier &amp; Merve Özer</t>
  </si>
  <si>
    <t>ROA-TR-2014/6.</t>
  </si>
  <si>
    <t>Methodiek arbeidsmarktprognoses en -indicatoren 2013-2018</t>
  </si>
  <si>
    <t>Clerx,R., F. Cörvers, S. Dijksman, D. Fouarge &amp; A. Künn-Nelen</t>
  </si>
  <si>
    <t>ROA-TR-2014/3</t>
  </si>
  <si>
    <t>Regionale arbeidsmarktprognoses 2013-2018, methodiek en resultaten</t>
  </si>
  <si>
    <t>Clerx, Rick, Frank Cörvers &amp; Didier Fouarge</t>
  </si>
  <si>
    <t>Hoogopgeleiden eerder met pensioen dan laagopgeleiden: 'Is dit wel rechtvaardig?</t>
  </si>
  <si>
    <t xml:space="preserve">Montizaan, Raymond </t>
  </si>
  <si>
    <t>de Volkskrant</t>
  </si>
  <si>
    <t>How Social Background Affects Educational Attainment over Time in the Netherlands. In: Determined to Succeed? Performance versus Choice in Educational Attainment, pp. 89-115</t>
  </si>
  <si>
    <t>Büchner, Charlotte &amp; Rolf van der Velden</t>
  </si>
  <si>
    <t>Stanford CA: Stanford University Press</t>
  </si>
  <si>
    <t>Personality and Field of Study Choice</t>
  </si>
  <si>
    <t>Humburg, Martin</t>
  </si>
  <si>
    <t>ROA Research Memorandum 1</t>
  </si>
  <si>
    <t>Social background, educational attainment and labor market integration: an exploration of underlying processes and dynamics</t>
  </si>
  <si>
    <t>Büchner, Charlotte</t>
  </si>
  <si>
    <t>ROA, Maastricht University</t>
  </si>
  <si>
    <t>Social Background's Effect on Educational Attainment: Does Method Matter?</t>
  </si>
  <si>
    <t>Büchner, Charlotte, Rolf van der Velden &amp; Maarten Wolbers</t>
  </si>
  <si>
    <t>ROA-Research Memorandum, No. 2013/1</t>
  </si>
  <si>
    <t>The Effect oof Venture Capital Innovation Stratgies</t>
  </si>
  <si>
    <t>Rin, Marco Da &amp; María Fabiana Penas</t>
  </si>
  <si>
    <t>CenTer</t>
  </si>
  <si>
    <t>Inkomenspositie bij buitenechtelijke geboorte</t>
  </si>
  <si>
    <t>Kalmijn, M.; Monden, Christiaan; de Vries, J.</t>
  </si>
  <si>
    <t>ESB</t>
  </si>
  <si>
    <t>Home production and the allocation of time and consumption over the life cycle</t>
  </si>
  <si>
    <t>Ree, Joppe de, Rob Alessie</t>
  </si>
  <si>
    <t>Netspar</t>
  </si>
  <si>
    <t>Schram-Bijkerk, D. and R. P. Bogers</t>
  </si>
  <si>
    <t>RIVM rapport 630450001</t>
  </si>
  <si>
    <t>Bogers, R. P., F. E. van Leeuwen, L. Grievink, L. J. Schouten, L. A. Kiemeney and D. Schram-Bijkerk</t>
  </si>
  <si>
    <t>Cancer Epidemiol</t>
  </si>
  <si>
    <t>Gender-specific spatial interactions on Dutch regional labour markets and the gender employment gap</t>
  </si>
  <si>
    <t>Noback, Inge, Lourens Broersma &amp; Jouke van Dijk</t>
  </si>
  <si>
    <t>MICRO-DYN Working Paper no. 25/10</t>
  </si>
  <si>
    <t>Hiring by skill in innovative and non-innovative firms. An explorative comparison using German and Dutch matched employer-employee data bases.</t>
  </si>
  <si>
    <t>Broersma, Lourens, Andreas Koch &amp; Bas Rekveldt</t>
  </si>
  <si>
    <t>MICRO-DYN Working Paper no. 05/10</t>
  </si>
  <si>
    <t>Broersma, Lourens</t>
  </si>
  <si>
    <t>Micro-Dyn newsletter No. 5</t>
  </si>
  <si>
    <t>Regieli, Jakub J.</t>
  </si>
  <si>
    <t>Analyses of Sickness Absence</t>
  </si>
  <si>
    <t>Heijnen, Suzanne M.M.</t>
  </si>
  <si>
    <t>UU USE</t>
  </si>
  <si>
    <t>Circumstances of death in adult congenital heart disease</t>
  </si>
  <si>
    <t>Zomer AC, Vaartjes I, Uiterwaal CSPM, van der Velde ET, van den Merkhof LFM, Baur LHB, Ansink TJM, Cozijnsen L, Pieper PG, Meijboom FJ, Grobbee DE &amp; Mulder BJM</t>
  </si>
  <si>
    <t>Int J Cardiol.;154:168-172</t>
  </si>
  <si>
    <t>Congenital heart disease may hurt men more than women in job participation</t>
  </si>
  <si>
    <t>Sluman MA, Zomer AC, Vaartjes I, Bouma BJ &amp; Mulder BJM</t>
  </si>
  <si>
    <t>Int J Cardiol.;172:230-232</t>
  </si>
  <si>
    <t>Mortality in adult congenital heart disease: Are national registries reliable for cause of death?</t>
  </si>
  <si>
    <t>Zomer AC, Uiterwaal CSPM, der Velde ET van, Tijssen JGP, Mariman ECM, Verheugt CL, Vaartjes I, Pieper PG, Meijboom FJ, Grobbee DE &amp; Mulder BJM</t>
  </si>
  <si>
    <t>Int J Cardiol. 2011;152:212-217</t>
  </si>
  <si>
    <t>Sex Differences in Hospital Mortality in Adults With Congenital Heart Disease: The Impact of Reproductive Health</t>
  </si>
  <si>
    <t>Zomer AC, Ionescu-Ittu R, Vaartjes I, Pilote L, Mackie AS, Therrien J, Langemeijer MM, Grobbee DE, Mulder BJM &amp; Marelli AJ.</t>
  </si>
  <si>
    <t xml:space="preserve"> J Am Coll Cardiol.;62:58-67</t>
  </si>
  <si>
    <t>Social Burden and Lifestyle in Adults With Congenital Heart Disease</t>
  </si>
  <si>
    <t>Zomer AC, Vaartjes I, Uiterwaal CSP, van der Velde ET, Sieswerda G-JT, Wajon EMC, Plomp K, van Bergen PFM, Verheugt CL, Krivka E, de Vries CJ, Lok DJA, Grobbee DE &amp;  Mulder BJM</t>
  </si>
  <si>
    <t>Am J Cardiol.;109:1657-1663</t>
  </si>
  <si>
    <t>Kwanttitatief effect WWB</t>
  </si>
  <si>
    <t>Tempelman, Caren</t>
  </si>
  <si>
    <t>Do Incentives for Municipalities Reduce the Welfare Caseload? Evaluation of aWelfare Reform in the Netherlands</t>
  </si>
  <si>
    <t>Kok Lucy, Caren Tempelman, Pierre Koning, Lennart Kroon &amp; Caroline Berden</t>
  </si>
  <si>
    <t>Springer</t>
  </si>
  <si>
    <t>Modelling blood safety</t>
  </si>
  <si>
    <t>Janssen, M.P.</t>
  </si>
  <si>
    <t>Universiteit Utrecht</t>
  </si>
  <si>
    <t>The PROTON study; Profiles of transfusion recipients in the Netherlands</t>
  </si>
  <si>
    <t>Borkent-Raven, Barbara</t>
  </si>
  <si>
    <t>Exportavonturen Nederlandse ondernemingen vaak van korte duur</t>
  </si>
  <si>
    <t>Lejour, A.M.</t>
  </si>
  <si>
    <t>Me Judice, jaargang 6</t>
  </si>
  <si>
    <t>Market Entry and Economic Diplomacy</t>
  </si>
  <si>
    <t>Creusen, H. &amp; A.M. Lejour</t>
  </si>
  <si>
    <t>Applied Economic Letters 20(5), 504-507</t>
  </si>
  <si>
    <t>CPB Discussion Paper 258</t>
  </si>
  <si>
    <t>The duration of Dutch export relations: decomposing firm country and product characteristics</t>
  </si>
  <si>
    <t>De Economist 163(2),  155-176.</t>
  </si>
  <si>
    <t>Using Stepping Stones to Enter Distant Export Markets</t>
  </si>
  <si>
    <t>Global Economy Journal 15(1),  107-132</t>
  </si>
  <si>
    <t>Regional wage differences in the Netherlands: micro evidence on agglomeration externalities</t>
  </si>
  <si>
    <t>Groot, S.P.T., H.L.F. de Groot en M.J.M. Smit</t>
  </si>
  <si>
    <t>Journal of Regional Science (accepted for publication and available online)</t>
  </si>
  <si>
    <t>The educational bias in commuting patterns</t>
  </si>
  <si>
    <t>Groot, S.P.T., H.L.F. de Groot en P. Veneri</t>
  </si>
  <si>
    <t>TI Discussion Paper 2012-080/3</t>
  </si>
  <si>
    <t>Wage inequality in the Netherlands: evidence, trends and explanations</t>
  </si>
  <si>
    <t>Groot, S.P.T. en H.L.F. de Groot</t>
  </si>
  <si>
    <t>CPB Discussion Paper 186</t>
  </si>
  <si>
    <t>A simple correction to remove the Bias of Gini</t>
  </si>
  <si>
    <t>Kippersluis, Hans van &amp; Tom van Ourti</t>
  </si>
  <si>
    <t>Erasmus Universiteit Rotterdam</t>
  </si>
  <si>
    <t>Langer leren om langer te leven</t>
  </si>
  <si>
    <t>Kippersluis, Hans van &amp; Eddy van Doorslaer</t>
  </si>
  <si>
    <t>Socioeconomic Difference in Heath over the Life Cycle: Evidence and Explanations</t>
  </si>
  <si>
    <t>Doorslaer, Eddy van &amp; Hans van Kippersluis, Owen O'Donnell, Tom van Ourti</t>
  </si>
  <si>
    <t>The Bias of the Gini Coefficient Due to Grouping: Revisiting first order Corrections</t>
  </si>
  <si>
    <t>Ourti, Tom van &amp; Philip Clarke</t>
  </si>
  <si>
    <t>EUR_FEW</t>
  </si>
  <si>
    <t>Social support substitution and the earnings rebound: Evidence from a regression discontinuity in disability insurance reform</t>
  </si>
  <si>
    <t>Borghans, Lex, Anne Gielen &amp; Erzo Luttmer</t>
  </si>
  <si>
    <t>American Economic Journal: Economic Policy, 6(4), pp. 34-70</t>
  </si>
  <si>
    <t>OECD</t>
  </si>
  <si>
    <t>OECD Publishing</t>
  </si>
  <si>
    <t>Berg, MJ van den, D de Boer, R Gijsen, R Heijink, LCM Limburg &amp; SLN Zwakhals</t>
  </si>
  <si>
    <t>RIVM</t>
  </si>
  <si>
    <t>Economics Letters , 109, 105-107.</t>
  </si>
  <si>
    <t>CentER discussion paper No 10-07</t>
  </si>
  <si>
    <t>CentER discussion paper No 13-28</t>
  </si>
  <si>
    <t>Wage structure and labor mobility in the Netherlands 1999-2003, the structure of wages an intenational comparison</t>
  </si>
  <si>
    <t>Kriechel, Ben</t>
  </si>
  <si>
    <t>Actieve ouderen en de arbeidsmarkt: de beloning. In: Bevolkingsvraagstukken in Nederland anno 2012. Actief ouder worden in Nederland. Werkverband Periodieke Rapportage Bevolkingsvraagstukken (WPRB)</t>
  </si>
  <si>
    <t>Deelen, A. ,R.W. Euwals en D.J. van Vuuren</t>
  </si>
  <si>
    <t>NIDI-boek nr. 86</t>
  </si>
  <si>
    <t>Is Part-time Employment Here To Stay? Evidence from the Dutch Labour Force Survey 1992-2005</t>
  </si>
  <si>
    <t>Bosch, N. , A. Deelen &amp; R. Euwals</t>
  </si>
  <si>
    <t>CPB Discussion Paper 100, Den Haag</t>
  </si>
  <si>
    <t>Is Part-time Employment Here to Stay? Working Hours of Dutch Women over Successive Generations</t>
  </si>
  <si>
    <t>Labour, Vol. 24, no. 1</t>
  </si>
  <si>
    <t>Loongebouw overheid en mobiliteit</t>
  </si>
  <si>
    <t>Deelen A.P. en R.W. Euwals</t>
  </si>
  <si>
    <t>CPB</t>
  </si>
  <si>
    <t>Migrant Women on the Labour Market: On the Role of Home and Host-Country Participation</t>
  </si>
  <si>
    <t>Kok, S., N. Bosch, A. Deelen &amp; R. Euwals</t>
  </si>
  <si>
    <t>IZA Discussion Paper 5817, Bonn</t>
  </si>
  <si>
    <t>Success of self-employment, in: Labour market flexibility in the Netherlands  - the role of contracts and self-employment</t>
  </si>
  <si>
    <t>Bosch, N.</t>
  </si>
  <si>
    <t>ROA Special Publication</t>
  </si>
  <si>
    <t>Wage-tenure profiles and mobility</t>
  </si>
  <si>
    <t>Deelen, A.P</t>
  </si>
  <si>
    <t>De Economist, 160(2), 141-155</t>
  </si>
  <si>
    <t>Wage-tenure profiles and mobility. In: Labour market flexibility in the Netherlands - the role of contracts and self-employment (Chapter 3)</t>
  </si>
  <si>
    <t>Deelen, A.P.</t>
  </si>
  <si>
    <t>Monitor Wsnp</t>
  </si>
  <si>
    <t>Bergh, Marijke von &amp; Rudolf Timmermans, Reinout Vriesendorp, Willem Keukens</t>
  </si>
  <si>
    <t>UvT_IVA</t>
  </si>
  <si>
    <t>Opleidingsmonitor Flexbranche</t>
  </si>
  <si>
    <t>Vermeulen, Hedwig</t>
  </si>
  <si>
    <t>RUN_ITS</t>
  </si>
  <si>
    <t>Tillaart, Harry van den, Sanne Elfering, Hedwig Vermeulen, Carolien van Rens, John Warmerdam, Wouter de Wit, Ellen van de Wetering &amp; Evelien Sombekke</t>
  </si>
  <si>
    <t>ITS, Radboud Universiteit Nijmegen</t>
  </si>
  <si>
    <t>Mobility and Migration</t>
  </si>
  <si>
    <t>Vetter-Kronenberg, K.</t>
  </si>
  <si>
    <t>Universitaire Pers Maastricht</t>
  </si>
  <si>
    <t>Locational choices and the costs of distance: Empirical evidence for Dutch graduates</t>
  </si>
  <si>
    <t xml:space="preserve">Spatial Economic Analysis </t>
  </si>
  <si>
    <t>On the Move: Determinants of Job and Residential Mobility in Different Sectors</t>
  </si>
  <si>
    <t>Urban Studies</t>
  </si>
  <si>
    <t>Firm relocations in the Netherlands: Why do firms move, and where do they go?</t>
  </si>
  <si>
    <t>Gondrie MJ, Mali WP, Jacobs PC, Oen AL, van der Graaf Y (PROVIDI Study Group)</t>
  </si>
  <si>
    <t>Radiology 257(2):549-59.</t>
  </si>
  <si>
    <t>Jairam PM, Gondrie MJ, Grobbee DE, Th M Mali WP, Jacobs PC, van der Graaf Y</t>
  </si>
  <si>
    <t>Radiology 27:132211</t>
  </si>
  <si>
    <t>Intra and interobserver reliability and agreement of semiquantitative vertebral fracture assessment on chest computed tomography</t>
  </si>
  <si>
    <t>Buckens CF, de Jong PA, Mol C, Bakker E, Stallman HP, Mali WP, van der Graaf Y, Verkooijen HM</t>
  </si>
  <si>
    <t>PLoS One 5;8(8)</t>
  </si>
  <si>
    <t>Prediction of cardiovascular events by using non-vascular findings on routine chest CT.</t>
  </si>
  <si>
    <t>de Jong PA, Gondrie MJ, Buckens CF, Jacobs PC, Mali WP, van der Graaf Y</t>
  </si>
  <si>
    <t>PROVIDI study group. PLoS One. 6(10):e26036.</t>
  </si>
  <si>
    <t>Prevalent vertebral fractures on chest CT: higher risk for future hip fracture</t>
  </si>
  <si>
    <t>Buckens CF, de Jong PA, Mali WP, Verhaar HJ, van der Graaf Y, Verkooijen HM.</t>
  </si>
  <si>
    <t>J Bone Miner Res. 2014 Feb;29(2):392-8</t>
  </si>
  <si>
    <t>Gondrie MJ, Mali WP, Buckens CF, Jacobs PC, Grobbee DE, van der Graaf Y.</t>
  </si>
  <si>
    <t>Eur J Epidemiol 25(10):751-8</t>
  </si>
  <si>
    <t>PROVIDI Study-Group. Age and sex based reference values for incidental coronary artery and thoracic aorta calcifications on routine clinical chest CT: A powerful tool to appreciate available imaging findings.</t>
  </si>
  <si>
    <t>Jairam PM, de Jong PA, Mali WP, Gondrie MJ, Jacobs PC, van der Graaf Y</t>
  </si>
  <si>
    <t>Atherosclerosis 235(2):546-53</t>
  </si>
  <si>
    <t>The association of incidentally detected heart valve calcification with future cardiovascular events</t>
  </si>
  <si>
    <t>Gondrie MJ, van der Graaf Y, Jacobs PC, Oen AL, Mali WP</t>
  </si>
  <si>
    <t>Eur Radiol 21(5):963-73</t>
  </si>
  <si>
    <t>The prognostic value of vascular diameter measurements on routine chest computed tomography in patients not referred for cardiovascular indications.</t>
  </si>
  <si>
    <t>Gondrie MJ, van der Graaf Y, Jacobs PC, Buckens SC, Mali WP (PROVIDI Study Groep)</t>
  </si>
  <si>
    <t>J Comput Assist Tomogr 35(6):734-41</t>
  </si>
  <si>
    <t>Unrequested findings on cardiac computed tomography: looking beyond the heart</t>
  </si>
  <si>
    <t>Buckens CF, Verkooijen HM, Gondrie MJ, Jairam P, Mali WP, van der Graaf Y.</t>
  </si>
  <si>
    <t>PLoS One 7(4):e32184</t>
  </si>
  <si>
    <t>Unrequested information from routine diagnostic chest CT predicts future cardiovascular events</t>
  </si>
  <si>
    <t>Jacobs PC, Gondrie MJ, Mali WP, Oen AL, Prokop M, Grobbee DE, van der Graaf Y.</t>
  </si>
  <si>
    <t>Eur Radiol 21(8):1577-85</t>
  </si>
  <si>
    <t>Ethnic variations in unplanned readmissions and excess length of hospital stay: a nationwide record-linked cohort study</t>
  </si>
  <si>
    <t>Bruijne, Martine C. de, Floor van Rosse, Ellen Uiters, Mariël Droomers, Jeanine Suurmond, Karien Stronks &amp; Marie-Louise Essink-Bot</t>
  </si>
  <si>
    <t>European Journal of Public Health, Vol. 23, No. 6, 964–971</t>
  </si>
  <si>
    <t>Kampioen deeltijd. Meer uren werken om de vergrijzing op te vangen?</t>
  </si>
  <si>
    <t>Noback, I.</t>
  </si>
  <si>
    <t>Demos, 28 (2): p. 5-7</t>
  </si>
  <si>
    <t>Regional labour market dynamics and the gender employment gap</t>
  </si>
  <si>
    <t>Noback, Inge</t>
  </si>
  <si>
    <t>University of Groningen</t>
  </si>
  <si>
    <t>Lammers M., H. Bloemen &amp; S. Hochguertel</t>
  </si>
  <si>
    <t>European Economic Review Volume 58, February 2013, Pages 31-57.</t>
  </si>
  <si>
    <t>Can universal access and competition in long-term care insurance be combined?</t>
  </si>
  <si>
    <t>Bakx P, Schut F, van Doorslaer E. Forthcoming. Can universal access and competition in long-term care insurance be combined? International Journal of Health Economics and Management. DOI: 10.1007/s10754-015-9163-3.</t>
  </si>
  <si>
    <t>International Journal of Health Economics and Management</t>
  </si>
  <si>
    <t>Determinants of long-term care spending: age, time to death or disability?</t>
  </si>
  <si>
    <t>De Meijer C, Koopmanschap M, Bago d' Uva T, van Doorslaer E.</t>
  </si>
  <si>
    <t>Journal of Health Economics 30 (2): 425-438.</t>
  </si>
  <si>
    <t>Financial Incentives in Long-Term Care</t>
  </si>
  <si>
    <t>Bakx P.</t>
  </si>
  <si>
    <t>Erasmus University: Rotterdam.</t>
  </si>
  <si>
    <t>Forecasting lifetime and aggregate long-term care spending- accounting for changing disability patterns</t>
  </si>
  <si>
    <t>De Meijer C, Majer I, Koopmanschap M &amp; van Baal P</t>
  </si>
  <si>
    <t>Medical Care 50 (8): 722-729</t>
  </si>
  <si>
    <t>Health expenditure growth: looking beyond the average through decomposition of the full distribution</t>
  </si>
  <si>
    <t>De Meijer C, O'Donnell O, Koopmanschap M &amp; Van Doorslaer E</t>
  </si>
  <si>
    <t>Journal of Health Economics: 88-105</t>
  </si>
  <si>
    <t>Risicoverevening voor de Ouderenzorg</t>
  </si>
  <si>
    <t>Bakx P, Schut F, van &amp; Doorslaer E.</t>
  </si>
  <si>
    <t>Economisch Statistische Berichten 98 (4651): 20-23</t>
  </si>
  <si>
    <t>Studies of Health and Long-Term Care Expenditure Growth in Aging Populations</t>
  </si>
  <si>
    <t>De Meijer C.</t>
  </si>
  <si>
    <t>Erasmus University: Rotterdam</t>
  </si>
  <si>
    <t>Klijs, B.</t>
  </si>
  <si>
    <t>Erasmus University Rotterdam</t>
  </si>
  <si>
    <t>Nationwide individual record linkage study showed poor agreement of causes of death and hospital diagnoses at individual level but reasonable agreement at population level</t>
  </si>
  <si>
    <t>Klijs B, Nusselder WJ, Mackenbach JP.</t>
  </si>
  <si>
    <t>J Clin Epidemiol;67(2):160-8. doi: 10.1016/j.jclinepi.2013.07.017.</t>
  </si>
  <si>
    <t>Klijs B, Mackenbach JP, Kunst AE.</t>
  </si>
  <si>
    <t>BMC Public Health. 24;11:378. doi: 10.1186/1471-2458-11-378.</t>
  </si>
  <si>
    <t>Economic Consequences of Healthy Aging. PhD Thesis.</t>
  </si>
  <si>
    <t>Wouterse, B.</t>
  </si>
  <si>
    <t>Tilburg  University</t>
  </si>
  <si>
    <t>The  relationship between baseline health and longitudinal costs of hospital use</t>
  </si>
  <si>
    <t>Wouterse, B., Meijboom, B.  R.,  Polder, J. J.</t>
  </si>
  <si>
    <t>Health Economics, 20(7), 355-362.</t>
  </si>
  <si>
    <t>Polder, J.J., Wong, A., &amp; Wouterse, B. (2012). Vergrijzing: Kosten en baten. In J.H.M. Donders &amp; C.A. de Kam (Eds.), Zorg verzekerd? Naar houdbare financiering voor de gezondheidszorg (pp. 101-123). Den Haag: Sdu.</t>
  </si>
  <si>
    <t>Sdu</t>
  </si>
  <si>
    <t>Feitenkaart participatie en burgerschap</t>
  </si>
  <si>
    <t>Roode, A.L.</t>
  </si>
  <si>
    <t>Centrum voor Onderzoek en Statistiek</t>
  </si>
  <si>
    <t>Rotterdam in cijfers</t>
  </si>
  <si>
    <t>O&amp;BI</t>
  </si>
  <si>
    <t>Staat van emancipatie Rotterdam</t>
  </si>
  <si>
    <t>Dijk, D. van &amp; S. Jagmohansingh</t>
  </si>
  <si>
    <t>Onderzoek en Business Intelligence</t>
  </si>
  <si>
    <t>Staat van Rotterdam</t>
  </si>
  <si>
    <t>Rhee, M. van &amp; A.L. Roode</t>
  </si>
  <si>
    <t>An incidence study of diagnosed autism-spectrum disorders among immigrants to the Netherlands</t>
  </si>
  <si>
    <t>Van der Ven E, Termorshuizen F, Laan W, van Os J &amp; Selten JP</t>
  </si>
  <si>
    <t>Acta Psychiatr Scand 128: 54-60.</t>
  </si>
  <si>
    <t>Cancer mortality in patients with psychiatric diagnoses: a higher hazard does not lead to a higher cumulative risk of death</t>
  </si>
  <si>
    <t>Guan NC, Termorshuizen F, Laan W, Smeets H, Zainal NZ, Kahn RS, de Wit NJ &amp; Boks MPM.</t>
  </si>
  <si>
    <t>Soc Psychiatry Psychiatr Epidemiol 48: 1289-95.</t>
  </si>
  <si>
    <t>Cause-specific mortality among patients with psychosis: disentangling the effects of age and duration since diagnosis</t>
  </si>
  <si>
    <t>Termorshuizen F, Wierdsma A, Smeets HM, Visser E, Drukker M, Nijman H &amp; Sytema S</t>
  </si>
  <si>
    <t>Psychosomatics 54: 536-545.</t>
  </si>
  <si>
    <t>Mortality and psychiatric disorders among Public Mental Health care clients in Utrecht: a register-based cohort study</t>
  </si>
  <si>
    <t>Termorshuizen F, van Bergen APL, Smit RBJ, Smeets HM &amp; van Ameijden EJC</t>
  </si>
  <si>
    <t>Int J Soc Psychiatry 60: 426-435.</t>
  </si>
  <si>
    <t>Neighborhood ethnic density and psychotic disorders among ethnic minority groups in Utrecht city</t>
  </si>
  <si>
    <t>Termorshuizen F, Smeets HM, Braam AW &amp; Veling W</t>
  </si>
  <si>
    <t>Soc Psychiatry Psychiatr Epidemiol 49: 1093-1102.</t>
  </si>
  <si>
    <t>Neighborhood ethnic density and suicide risk  among different migrant groups in the four big cities in the Netherlands</t>
  </si>
  <si>
    <t>Termorshuizen F, Braam AW &amp; van Ameijden EJC</t>
  </si>
  <si>
    <t>Soc Psychiatry Psychiatr Epidemiol (in press)</t>
  </si>
  <si>
    <t>Suicide Behavior Before and After the Start with Antidepressants: A High Persistent Risk in the First Month of Treatment Among the Young</t>
  </si>
  <si>
    <t>Termorshuizen, Fabian, Saskia JM Palmen &amp;  Eibert R Heerdink</t>
  </si>
  <si>
    <t>International Journal of Neuropsychopharmacology Advance Access published</t>
  </si>
  <si>
    <t>Comparing episodes of antidepressants use with intermittent episodes of no use: A higher relative risk of suicide attempts but not of suicide at young age</t>
  </si>
  <si>
    <t>Termorshuizen Fabian, Hugo M Smeets, Marco PM Boks &amp; Eibert R Heerdink</t>
  </si>
  <si>
    <t>Journal of Psychopharmacology</t>
  </si>
  <si>
    <t>Educational achievement in psychiatric patients and their siblings: a register-based study in 30 000 individuals in The Netherlands</t>
  </si>
  <si>
    <t>Tempelaar, W. M., F. Termorshuizen, J. H. MacCabe, M. P. M. Boks &amp; R. S. Kahn</t>
  </si>
  <si>
    <t>Psychological Medicine</t>
  </si>
  <si>
    <t>Impact of cardiovascular calcifications on the detrimental effect of continued smoking on cardiovascular risk in male lung cancer screening participants</t>
  </si>
  <si>
    <t>Jairam PM, de Jong PA, Mali WP, Isgum I, de Koning HJ, van der Aalst C, Oudkerk M, Vliegenthart R, van der Graaf Y</t>
  </si>
  <si>
    <t>PLoS One. 20;8(6):e66484</t>
  </si>
  <si>
    <t>Lung cancer screening CT-based prediction of cardiovascular events</t>
  </si>
  <si>
    <t>Mets OM, Vliegenthart R, Gondrie MJ, Viergever MA, Oudkerk M, de Koning HJ, Mali WP, Prokop M, van Klaveren RJ, van der Graaf Y, Buckens CF, Zanen P, Lammers JW, Groen HJ, Isgum I, de Jong PA.</t>
  </si>
  <si>
    <t>JACC Cardiovasc Imaging; 6(8):899-907</t>
  </si>
  <si>
    <t>Regional and temporal variation in hysterectomy rates and surgical routes for benign diseases in the Netherlands</t>
  </si>
  <si>
    <t>Hanstede MM &amp; Burger MJ, Timmermans A, Burger MP</t>
  </si>
  <si>
    <t>Acta Obstetricia et Gynecologica Scandinavica</t>
  </si>
  <si>
    <t>Armoede signalement 2014</t>
  </si>
  <si>
    <t>SCP | CBS</t>
  </si>
  <si>
    <t>Dröes, M.I., Hassink, W.H.J.</t>
  </si>
  <si>
    <t>Journal of Housing Economics 22, 92-99.</t>
  </si>
  <si>
    <t>Dröes, M.I.</t>
  </si>
  <si>
    <t>TKI Dissertation Series 004, Utrecht University School of Economics</t>
  </si>
  <si>
    <t>Dick, Johannes, Katrin Hussinger, Boris F. Blumberg &amp; John Hagedoorn</t>
  </si>
  <si>
    <t>Small Business Economics 40, 911-931</t>
  </si>
  <si>
    <t>Annuity Market Imperfections</t>
  </si>
  <si>
    <t xml:space="preserve">Sanders, Lisanne </t>
  </si>
  <si>
    <t>Netspar Thesis</t>
  </si>
  <si>
    <t>Irreconcilable differences? Ethnic intermarriage and divorce in the Netherlands, 1995-2008</t>
  </si>
  <si>
    <t>Smith, Sanne, Ineke Maas &amp; Frank van Tubergen</t>
  </si>
  <si>
    <t>Social Science Research 41 1126-1137</t>
  </si>
  <si>
    <t>Nieuwe meetsystematiek. In: Aanval op schooluitval (bijlage bij een brief aan de Tweede Kamer)</t>
  </si>
  <si>
    <t>OCW_DUO</t>
  </si>
  <si>
    <t>Association of Coexisting Diabetes and Depression With Mortality After Myocardial Infarction</t>
  </si>
  <si>
    <t>DIABETES CARE</t>
  </si>
  <si>
    <t>Depression treatment after myocardial infarction and long-term risk of subsequent cardiovascular events and mortality: A randomized controlled trial</t>
  </si>
  <si>
    <t>Zuidersma, Marij &amp; Henk Jan Conradi, Joost P. van Melle, Johan Ormel, Peter de Jonge</t>
  </si>
  <si>
    <t>Journal of Psychosomatic Research 74 25-30</t>
  </si>
  <si>
    <t>Myocardial infarction and generalised anxiety disorder: 10-year follow-up</t>
  </si>
  <si>
    <t>Roest, Annelieke M. &amp; Marij Zuidersma and Peter de Jonge</t>
  </si>
  <si>
    <t>The British Journal of Psychiatry</t>
  </si>
  <si>
    <t>International Journal of Cardiology</t>
  </si>
  <si>
    <t>Disentangling processes of neighbourhood change: Towards a better understanding of upgrading and downgrading of neighbourhoods in the highly-regulated context of the Netherlands. PhD Thesis.</t>
  </si>
  <si>
    <t>Teernstra, A.B.</t>
  </si>
  <si>
    <t>Amsterdam: University of Amsterdam</t>
  </si>
  <si>
    <t>Dynamics of Gentrification: a Critical Reappraisal</t>
  </si>
  <si>
    <t>Hochstenbach, Cody, Sako Musterd &amp; Annalies Teernstra</t>
  </si>
  <si>
    <t>Population Space and Place. DOI: 10.1002/psp.1854</t>
  </si>
  <si>
    <t>Gentrification in Amsterdam: Assessing the Importance of Context</t>
  </si>
  <si>
    <t>Hochstenbach, C., Musterd, S. &amp; Teernstra, A.B.</t>
  </si>
  <si>
    <t xml:space="preserve"> Population, Space and Place (Online First. DOI: 10.1002/psp.1854)</t>
  </si>
  <si>
    <t>Housing Liberalization and Gentrification; the Social Effects of Tenure Conversions in Amsterdam</t>
  </si>
  <si>
    <t>Boterman, W.R. &amp; W.P.C. van Gent</t>
  </si>
  <si>
    <t>Tijdschrift voor Economische en Sociale Geografie, 105 (2), 140-160.</t>
  </si>
  <si>
    <t>Neighbourhood change, mobility and incumbent processes: exploring income developments of in-migrants, out-migrants and non-migrants of neighbourhoods</t>
  </si>
  <si>
    <t xml:space="preserve"> Urban Studies, 51(5), 978-999.</t>
  </si>
  <si>
    <t>Independent and additive association of prenatal famine exposure and intermediary life conditions with adult mortality age 18-63 years</t>
  </si>
  <si>
    <t>Ekamper, Van Poppel, Stein &amp; Lumey</t>
  </si>
  <si>
    <t>Social Science and Medicine 119: 232-239</t>
  </si>
  <si>
    <t>Prenatal famine exposure and adult mortality through age 63 years from cancer, cardiovascular disease and other causes.</t>
  </si>
  <si>
    <t>Ekamper, Van Poppel, Stein, Bijwaard &amp; Lumey</t>
  </si>
  <si>
    <t>American Journal of Epidemiology</t>
  </si>
  <si>
    <t>War-related excess mortality in The Netherlands, 1944–45: New estimates of famine- and non-famine-related deaths from national death records</t>
  </si>
  <si>
    <t xml:space="preserve">Ekamper, P., Bijwaard, G.E., Poppel, F.W.A. van &amp; Lumey, L.H. </t>
  </si>
  <si>
    <t>Historical Methods</t>
  </si>
  <si>
    <t>Innovation Failure: Which Capabilities Prevent It?</t>
  </si>
  <si>
    <t>Faria, Pedro de &amp; Wilfred Dolfsma</t>
  </si>
  <si>
    <t>Wang, Dehua</t>
  </si>
  <si>
    <t>Energiebeleid en -gedrag in de woningmarkt.</t>
  </si>
  <si>
    <t>Brounen, Dirk</t>
  </si>
  <si>
    <t>Brounen, Dirk &amp; Nils Kok</t>
  </si>
  <si>
    <t>Journal of Environmental Economics and Management 62 166-179</t>
  </si>
  <si>
    <t>Brounen, Dirk, Nils Kok &amp; John M.Quigley</t>
  </si>
  <si>
    <t>European Economic Review 56 931-945</t>
  </si>
  <si>
    <t>Homeownership, mortgages, and unemployment</t>
  </si>
  <si>
    <t>Kantor, Y., Möhlmann, J., Nijkamp, P. and J. Rouwendal</t>
  </si>
  <si>
    <t>Letters in Spatial and Resource Science. DOI: 10.1007/s12076-015-0139-1.</t>
  </si>
  <si>
    <t>Suicide mortality among deployed male military personnel compared with men who were not deployed</t>
  </si>
  <si>
    <t>Rijs K &amp; Bogers R</t>
  </si>
  <si>
    <t>Ministerie van Defensie</t>
  </si>
  <si>
    <t>Meer zelfdoding bij militairen die op missie zijn geweest?</t>
  </si>
  <si>
    <t>Bogers, R.P. &amp; Rijs, K.J.</t>
  </si>
  <si>
    <t>Rijksinstituut voor Volksgezondheid en Milieu</t>
  </si>
  <si>
    <t>Journal of the American Geriatrics Society</t>
  </si>
  <si>
    <t>Trend study on the association between hospital admissions and the health of Dutch older adults (1995-2009)</t>
  </si>
  <si>
    <t xml:space="preserve">Galenkamp H, Deeg D.J.H., de Jongh R.T., Kardaun J.W.P.F &amp;, Huisman H. </t>
  </si>
  <si>
    <t>BMJ open</t>
  </si>
  <si>
    <t xml:space="preserve">Prina A.M., Deeg D., Brayne C., Beekman A. &amp; Huisman M. </t>
  </si>
  <si>
    <t>PLoS One</t>
  </si>
  <si>
    <t>Ethnic inequalities in cardiovascular disease: incidence, prognosis, and health care use</t>
  </si>
  <si>
    <t>Oeffelen, Louise van</t>
  </si>
  <si>
    <t>Incidence of acute myocardial infarction in first and second generation minority groups: Does the second generation converge towards the majority population?</t>
  </si>
  <si>
    <t>Oeffelen, A.A.M. van, I. Vaartjes, K. Stronks, M.L. Bots &amp; C. Agyemang</t>
  </si>
  <si>
    <t>International Journal of Cardiology 168 (2013) 5422-5429</t>
  </si>
  <si>
    <t>Kans op hartinfarct groter onder Surinamers</t>
  </si>
  <si>
    <t>Oeffelen, Louise van &amp; Ilonca Vaartjes</t>
  </si>
  <si>
    <t>NU.nl</t>
  </si>
  <si>
    <t>Agyemang, C.,  A.A.M. van Oeffelen, M.L. Bots, K. Stronks &amp; I. Vaartjes</t>
  </si>
  <si>
    <t>Heart 2013;0:1-8.</t>
  </si>
  <si>
    <t>Oeffelen, Aloysia A. M. van, Charles Agyemang, Michiel L. Bots, Karien Stronks, Carla Koopman, Lenie van Rossem &amp; Ilonca Vaartjes</t>
  </si>
  <si>
    <t>Eur J Epidemiol (2012) 27:605–613</t>
  </si>
  <si>
    <t>Economic Consequences of Healthy Aging</t>
  </si>
  <si>
    <t>Wouterse, B</t>
  </si>
  <si>
    <t>PhD Thesis. Tilburg University</t>
  </si>
  <si>
    <t>Wouterse, B., Huisman, M., Meijboom, B. R., Deeg, D. J., &amp; Polder, J. J.</t>
  </si>
  <si>
    <t>J Health Econ, 32(2), 423-439. doi: 10.1016/j.jhealeco.2012.11.005</t>
  </si>
  <si>
    <t>Health Economics, 20(7), 355-362</t>
  </si>
  <si>
    <t>Polder, J.J., Wong, A., &amp; Wouterse, B.</t>
  </si>
  <si>
    <t>Cito</t>
  </si>
  <si>
    <t>Parental Unemployment: How much and when does it matter for Children's Educational Achievements</t>
  </si>
  <si>
    <t>Bakker, F.M., Irma Mooi-Reci</t>
  </si>
  <si>
    <t>Lifecoursecentr</t>
  </si>
  <si>
    <t>Ontslag ouders, arbeidsethos en opleidingsuitkomsten van de kinderen</t>
  </si>
  <si>
    <t>Bakker, Bart F.M., Gregory Besjes &amp; IrmaMooi-Reci</t>
  </si>
  <si>
    <t>Amsterdam University Press</t>
  </si>
  <si>
    <t>Effects of neighborhood context and direct social context on criminal careers during adolescence and into early adulthood. Persisters and desisters in crime from adolescence into adulthood: Explanation, prevention and punishment.</t>
  </si>
  <si>
    <t xml:space="preserve">Averdijk, M., Elffers, H., &amp; Ruiter, S. </t>
  </si>
  <si>
    <t>Aldershot: Ashgate</t>
  </si>
  <si>
    <t xml:space="preserve">Rokven, J., Ruiter, S., &amp; Tolsma, J. </t>
  </si>
  <si>
    <t>Tijdschrift voor Criminologie</t>
  </si>
  <si>
    <t>Effecten van sociale omgeving en buurt op criminele carrières. Wat beïnvloedt hun gedrag en wat is de rol van justitie?</t>
  </si>
  <si>
    <t>Amsterdam: SWP</t>
  </si>
  <si>
    <t xml:space="preserve">Rokven, J. </t>
  </si>
  <si>
    <t>Radboud University Nijmegen: ICS dissertation Nijmegen</t>
  </si>
  <si>
    <t>Havekes, E., Coenders, M. &amp; Dekker, K.</t>
  </si>
  <si>
    <t>Urban Studies. Online published: DOI: 10.1177/0042098013506049</t>
  </si>
  <si>
    <t>The impact of ethnic concentration on prejudice: the role of cultural and socioeconomic differences between ethnic neighbourhood residents.</t>
  </si>
  <si>
    <t>Havekes, E., Coenders, M., Dekker, K. &amp; Lippe, T. van der</t>
  </si>
  <si>
    <t>Journal of Urban Affairs. Online published, DOI: 10.1111/juaf.12</t>
  </si>
  <si>
    <t>Spatial Concentration of Industries and New Firm Exits: Does this Relationship Differ between Exits by Closure and by M&amp;A?</t>
  </si>
  <si>
    <t>Weterings, Anet &amp; Orietta Marsili</t>
  </si>
  <si>
    <t>Regional Studies, DOI:10.1080/00343404.2012.726708</t>
  </si>
  <si>
    <t>Burden of sickness absence due to chronic disease in the Dutch workforce from 2007 to 2011</t>
  </si>
  <si>
    <t>Vroome, E.M.M. de, Uegaki, K., Ploeg, C.P.B. van der, Treutlein, D.B., Steenbeek, R., Weerd, M. de &amp; Bossche, S.N.J. van den</t>
  </si>
  <si>
    <t>Journal of Occupational Rehabilitation, 25. DOI 10.1007/s10926-015-9575-4.</t>
  </si>
  <si>
    <t>Cliëntstromen in de SUWI-keten 2005-2008</t>
  </si>
  <si>
    <t>Tanis, Olivier, Marcel Spijkerman, Daan Ooms en Joep Houtman</t>
  </si>
  <si>
    <t>SEOR</t>
  </si>
  <si>
    <t>Natuurverkenning 2010 (webpublicatie)</t>
  </si>
  <si>
    <t>PBL</t>
  </si>
  <si>
    <t>Assessing the potential impact of increased participation in higher education on mortality: Evidence from 21 European populations.</t>
  </si>
  <si>
    <t>Kulhánová I, Hoffmann R, Menvielle G, Looman CWN, Eikemo TA, Bopp M, Borrell C, Deboosere P, Leinsalu M, Martikainen P, Rychta?íková J, Wojtyniak B, Judge K, Mackenbach JP</t>
  </si>
  <si>
    <t>Social Science &amp; Medicine, pp. 142-149. doi: 10.1016/j.socscimed.2014.07.02</t>
  </si>
  <si>
    <t>Educational inequalities in mortality by cause of death: first national data for the Netherlands</t>
  </si>
  <si>
    <t>Kulhánová I, Hoffmann R, Eikemo TA, Menvielle G, Mackenbach JP</t>
  </si>
  <si>
    <t>International Journal of Public Health doi:10.1007/s00038-014-0576-4</t>
  </si>
  <si>
    <t>Educational inequalities in three smoking-related causes of death in 18 European populations.</t>
  </si>
  <si>
    <t>Kulik MC, Mevielle G, Eikemo TA, Bopp M, Jasilionis D, Kulhánová I, Leinsalu M, Martikainen P, Östergren O, Mackenbach JP</t>
  </si>
  <si>
    <t>Nicotine &amp; Tobacco Research,16(5):507-518. doi: 10.1093/ntr/ntt175</t>
  </si>
  <si>
    <t>Smoking and the potential for reduction of inequalities in mortality in Europe</t>
  </si>
  <si>
    <t>Kulik MC, Hoffmann R, Judge K, Looman C, Menvielle G, Kulhánová I, Toch M, Östergren O, Martikainen P, Borrell C, Rodríguez-Sanz M, Bopp M, Leinsalu M, Jasilionis D, Eikemo TA, Mackenbach JP</t>
  </si>
  <si>
    <t>European Journal of Epidemiology,28(12):959-971</t>
  </si>
  <si>
    <t>Variations in the relation between education and cause-specific mortality in 19 European populations: a test of the "fundamental causes" theory of social inequalities in health</t>
  </si>
  <si>
    <t>Mackenbach JP, Kulhánová I, Bopp M, Deboosere P, Eikemo TA, Hoffmann R, Kulik MC, Leinsalu M, Martikainen P, Menvielle G, Regidor E, Wojtyniak B, Östergren O, Lundberg O</t>
  </si>
  <si>
    <t>Social Science &amp; Medicine. doi: 10.1016/j.socscimed.2014.05.021.</t>
  </si>
  <si>
    <t>Kunutsor SK, Bakker SJ, Gansevoort RT, Chowdhury R &amp; Dullaart RP.</t>
  </si>
  <si>
    <t>Arterioscler Thromb Vasc Biol.; 35(3):716-24</t>
  </si>
  <si>
    <t>Measuring Cultural Diversity and its Impact on Innovation: Longitudinal Evidence from Dutch Firms</t>
  </si>
  <si>
    <t>Ozgen, Ceren, Peter Nijkamp &amp; Jacques Poot</t>
  </si>
  <si>
    <t>IZA</t>
  </si>
  <si>
    <t>American journal of epidemiology</t>
  </si>
  <si>
    <t>The impact of nursing homes on small-area life expectancies</t>
  </si>
  <si>
    <t>Health &amp; Place</t>
  </si>
  <si>
    <t>Small-area health comparisons using health-adjusted life expectancies - A Bayesian random-effects approach</t>
  </si>
  <si>
    <t>Jonker, M.F., F.J.van Lenthe, B. Donkers, J.P. Mackenbach &amp;  A. Burdorf</t>
  </si>
  <si>
    <t>Journal of Epidemiology</t>
  </si>
  <si>
    <t>Jonker, M.F., B. Donkers, B. Chaix, F.J. van Lenthe, A. Burdorf &amp; J.P. Mackenbach</t>
  </si>
  <si>
    <t>Epidemiology</t>
  </si>
  <si>
    <t>High resolution exposure modelling of heat and air pollution and the impact on mortality</t>
  </si>
  <si>
    <t xml:space="preserve">Environment International </t>
  </si>
  <si>
    <t>The economics of social housing: Implications for welfare, consumption, and labor market composition</t>
  </si>
  <si>
    <t>Kattenberg, M. A. C.</t>
  </si>
  <si>
    <t>Tjalling C. Koopmans Dissertation Series</t>
  </si>
  <si>
    <t>The risk of growing fast</t>
  </si>
  <si>
    <t>Hartog, C.M. MSc &amp; dr. J.M.P. de Kok &amp; dr. Ir. H. Zhou</t>
  </si>
  <si>
    <t>paper for IECER 2012 conference</t>
  </si>
  <si>
    <t>Hartog, C.M. MSc &amp; dr. J.M.P. de Kok, dr. Ir. H. Zhou</t>
  </si>
  <si>
    <t>EIM Research Reports</t>
  </si>
  <si>
    <t>The risk of growing fast: Does fast growth have a negative impact on the survival rates of firms?</t>
  </si>
  <si>
    <t>Kok, Jan de &amp; Haibo Zhou, Chantal Hartog, Peter van der Zwan</t>
  </si>
  <si>
    <t>The risk of growing fast: does fast growth have a negative impact on the survival rates of firms?</t>
  </si>
  <si>
    <t>Zhou, Haibo, Jan de Kok, Chantal Hartog &amp; Peter van der Zwan</t>
  </si>
  <si>
    <t>Frontiers of Entrepreneurship Research: Vol. 32: Iss. 9, Article 1</t>
  </si>
  <si>
    <t>Geographic Proximity of Adult Children and the Well-Being of Older Persons</t>
  </si>
  <si>
    <t>Van der Pers, M., C.H. Mulder &amp; N. Steverink</t>
  </si>
  <si>
    <t>Research on Aging. DOI: 10.1177/0164027514545482</t>
  </si>
  <si>
    <t>Intergenerational Proximity and the Residential Relocation of Older People to Care Institutions and Elsewhere</t>
  </si>
  <si>
    <t>Van der Pers, M., E.U.B. Kibele &amp; C.H. Mulder</t>
  </si>
  <si>
    <t>Aging and Society. DOI: 10.1017/S0144686X14000300</t>
  </si>
  <si>
    <t>The Regional Dimension of Intergenerational Proximity in the Netherlands</t>
  </si>
  <si>
    <t>Van der Pers, M. &amp; C.H. Mulder</t>
  </si>
  <si>
    <t>Population Space and Place, 19(5), pp. 505-52.  DOI: 10.1002/psp.1729</t>
  </si>
  <si>
    <t>Childhood cancer survivors: evidence and care</t>
  </si>
  <si>
    <t>Kampen-Sieswerda, Elske van</t>
  </si>
  <si>
    <t>Optima Grafische Communicatie</t>
  </si>
  <si>
    <t>Individual activity patterns and the meaning of residential environments for inter-ethnic contact</t>
  </si>
  <si>
    <t>Heringa, Aafke, Gideon Bolt, Martin Dijst &amp; Ronald van Kempen</t>
  </si>
  <si>
    <t>Tijdschrift voor Economische en Sociale Geografie</t>
  </si>
  <si>
    <t>Improving the Prediction Model used in Risk Equalization: Cost and Diagnostic Information from Multiple Prior Years</t>
  </si>
  <si>
    <t>Van Veen, S.H.C.M., Kleef, R.C., van, Ven, W.P.M.M. van de, Vliet, R.C.J.A. van</t>
  </si>
  <si>
    <t>European Journal of Health Economics, 16(2): 201-18</t>
  </si>
  <si>
    <t>Risicoverevening 2012: Een analyse van voorspelbare winsten en verliezen op subgroepniveau</t>
  </si>
  <si>
    <t>Kleef, R.C. van, R.C.J.A. van Vliet en W.P.M.M. van de Ven</t>
  </si>
  <si>
    <t>iBMG</t>
  </si>
  <si>
    <t>Risicoverevening 2014 voor somatische zorg Analyse van uitkomsten op subgroepniveau</t>
  </si>
  <si>
    <t>Risicoverevening tussen zorgverzekeraars: Kwantificering modelverbeteringen 1993-2011</t>
  </si>
  <si>
    <t>TSG, 90: 312-326</t>
  </si>
  <si>
    <t>Risk equalization in the Netherlands: An empirical evaluation</t>
  </si>
  <si>
    <t>Kleef, R.C. van, R.C.J.A. van Vliet, and W.P.M.M. van de Ven</t>
  </si>
  <si>
    <t>Expert Review of Pharmacoeconomics &amp; Outcomes Research, 13: 829-839</t>
  </si>
  <si>
    <t>Werkloosheid in de bouw, in- en uitstroom in de WW 2009-2011</t>
  </si>
  <si>
    <t>Afrian, K., Koning, M.A &amp; Vrolijk, M.H.</t>
  </si>
  <si>
    <t>EIB</t>
  </si>
  <si>
    <t>Development of the public-private wage differential in the Netherlands 1979 - 2009</t>
  </si>
  <si>
    <t>Berkhout, Ernest (SEO) en Wiemer Salverda (AIAS)</t>
  </si>
  <si>
    <t>SEO Economisch Onderzoek</t>
  </si>
  <si>
    <t>Werf, Siemen van der &amp; Arjan Heyma</t>
  </si>
  <si>
    <t>Does Growth Hormone Replacement Therapy Reduce Mortality in Adults with Growth Hormone Deficiency? Data from the Dutch National Registry of Growth Hormone Treatment in Adults</t>
  </si>
  <si>
    <t>Bunderen, Christa C. van &amp; I. Caroline van Nieuwpoort, Lucia I. Arwert, Martijn W. Heymans, Anton A. M. Franken, Hans P. F. Koppeschaar, Aart J. van der Lely, and Madeleine L. Drent</t>
  </si>
  <si>
    <t>Journal of  Clinical Endocrinology &amp; Metabolism</t>
  </si>
  <si>
    <t>The effect of same-sex marriage laws on different-sex marriage: Evidence from the Netherlands</t>
  </si>
  <si>
    <t>Trandafir, Mircea</t>
  </si>
  <si>
    <t>Demography 51:1, 317-340</t>
  </si>
  <si>
    <t>Pensioen consumptiebehoeften en ouderenzorg</t>
  </si>
  <si>
    <t>Knoef, Hussem, Soede &amp; De Bresser</t>
  </si>
  <si>
    <t>Netspar design paper 31</t>
  </si>
  <si>
    <t>Veel variatie in de pensioenopbouw van Nederlandse huishoudens</t>
  </si>
  <si>
    <t>Knoef, Goudswaard, Been &amp; Caminada</t>
  </si>
  <si>
    <t>Netspar brief 02</t>
  </si>
  <si>
    <t>Job Strain and Alcohol Intake: A Collaborative Meta-Analysis of Individual-Participant Data from 140 000 Men and Women</t>
  </si>
  <si>
    <t>Heikkila, Katriina et al.</t>
  </si>
  <si>
    <t>PLoS ONE V7, I7,  e40101</t>
  </si>
  <si>
    <t>Job Strain and Tobacco Smoking: An Individual-Participant Data Meta-Analysis of 166 130 Adults in 15 European Studies</t>
  </si>
  <si>
    <t>Heikkilä, Katriina et al.</t>
  </si>
  <si>
    <t>PLoS ONE V7,  I7, e35463</t>
  </si>
  <si>
    <t>Job strain as a risk factor for coronary heart disease: a collaborative meta-analysis of individual participant data</t>
  </si>
  <si>
    <t>Kivimäki, Mika et al.</t>
  </si>
  <si>
    <t>Lancet 380: 1491-97</t>
  </si>
  <si>
    <t>Job Strain as a Risk Factor for Leisure-Time Physical Inactivity: An Individual-Participant Meta-Analysis of Up to 170,000 Men and Women The IPD-Work Consortium</t>
  </si>
  <si>
    <t>Fransson, Eleonor I. et al.</t>
  </si>
  <si>
    <t>Am J Epidemiol. 176(12):1078–1089</t>
  </si>
  <si>
    <t>Job strain in relation to bodymass index: pooled analysis of 160 000 adults from13 cohort studies</t>
  </si>
  <si>
    <t>Nyberg, S.T. et al.</t>
  </si>
  <si>
    <t>Journal of Internal Medicine, doi: 10.1111/j.1365-2796.2011.02482.x</t>
  </si>
  <si>
    <t>Work stress and risk of cancer: meta-analysis of 5700 incident cancer events in 116 000 European men and women</t>
  </si>
  <si>
    <t>BMJ 2013;346:f165 doi: 10.1136/bmj.f165</t>
  </si>
  <si>
    <t>Dynamiek in stadswijken: sociale stijging en verhuizingen</t>
  </si>
  <si>
    <t>Bevolkingstrends (59) 4, p. 71-75.</t>
  </si>
  <si>
    <t>Registers over wijken: mogelijkheden en beperkingen van het Sociaal Statistisch Bestand voor het onderzoek 'Sociale dynamiek in de wijk'</t>
  </si>
  <si>
    <t>Sociaal en Cultureel Planbureau</t>
  </si>
  <si>
    <t>Kullberg, Jeanet</t>
  </si>
  <si>
    <t>tsg jaargang 92 / 2014 nummer 5 spectrum - pagina 171</t>
  </si>
  <si>
    <t>Werk aan de wijk. Een quasi-experimentele evaluatie van het krachtwijkenbeleid</t>
  </si>
  <si>
    <t>Permentier, Matthieu, Jeanet Kullberg en Lonneke van Noije</t>
  </si>
  <si>
    <t>SCP</t>
  </si>
  <si>
    <t>Wijkaanpak lijkt aan te slaan</t>
  </si>
  <si>
    <t>Wonen, wijken &amp; interventies: krachtwijkenbeleid in perspectief</t>
  </si>
  <si>
    <t>Sociaal en Cultureel Planbureau.</t>
  </si>
  <si>
    <t>Marchal, Bert</t>
  </si>
  <si>
    <t>ABF</t>
  </si>
  <si>
    <t>De kwetsbaarheid voorbij? Een studie over verschillen in loonontwikkeling van allochtone en autochtone academici, pp 185-202. In W. Smits en R. van Gaalen (eds): Dynamiek op de Nederlandse Arbeidsmarkt. De focus op kwetsbare groepen.</t>
  </si>
  <si>
    <t>Employment assimilation of immigrants in the Netherlands: dip-and-catch-up by source country</t>
  </si>
  <si>
    <t>International Journal of Population Research, Article ID 634276</t>
  </si>
  <si>
    <t>Employment assimilation of immigrants in the Netherlands: catching up and the irrelevance of education</t>
  </si>
  <si>
    <t>Zorlu, A. &amp; J. Hartog</t>
  </si>
  <si>
    <t>IZA Discussion paper  No. 3534</t>
  </si>
  <si>
    <t>Ethnic Disparities in Degree Performance</t>
  </si>
  <si>
    <t>Zorlu, A.</t>
  </si>
  <si>
    <t>IZA Discussion Paper 6158</t>
  </si>
  <si>
    <t>The IZA Journal of Migration, 2, 3;  doi:10.1186/2193-9039-2-3</t>
  </si>
  <si>
    <t>Ethnic Disparities in the Graduate Labour Market</t>
  </si>
  <si>
    <t>Economics Research International, Volume 2012, Article ID 836379</t>
  </si>
  <si>
    <t>IZA Discussion Paper 6159</t>
  </si>
  <si>
    <t>Integratie niet beter voor hoger opgeleide immigranten</t>
  </si>
  <si>
    <t>Mejudice</t>
  </si>
  <si>
    <t>Occupational Adjustment of Immigrants</t>
  </si>
  <si>
    <t>IZA Discussion Paper 6147</t>
  </si>
  <si>
    <t>Occupational Adjustment of Immigrants in the Netherlands</t>
  </si>
  <si>
    <t>Journal of International Migration and Integration, 14, 4, 711-731</t>
  </si>
  <si>
    <t>Opleidingsniveau in registers: een toets van de validiteit via loonfuncties, pp 51-64. In B.F.M. Bakker en L. Kuijvenhoven (eds): Registers in sociaalwetenschappelijk onderzoek, mogelijkheden en valkuilen.</t>
  </si>
  <si>
    <t>Struggling for a proper job</t>
  </si>
  <si>
    <t>AIAS Working Paper WP 64</t>
  </si>
  <si>
    <t>Migratie en inkomensontwikkeling: Longitudinaal onderzoek naar vestigers in Rotterdam</t>
  </si>
  <si>
    <t>Centrum voor Onderzoek en Statistiek (COS)</t>
  </si>
  <si>
    <t>Testing the Trade-off Theory for Dutch Small and Medium-Sized Enterprises</t>
  </si>
  <si>
    <t>Vrijburg, H.</t>
  </si>
  <si>
    <t>IIPF conference paper, Taormina</t>
  </si>
  <si>
    <t>The Effect of Capital Taxes on Household's Portfolio Composition and Intertemporal Choice: Evidence from the Dutch 2001 Capital Income Tax Reform</t>
  </si>
  <si>
    <t>Zoutman, Floris T</t>
  </si>
  <si>
    <t>NHH Dept. of Business and Management Science Discussion Paper No. 2014/23</t>
  </si>
  <si>
    <t>The Excess Burden of taxing Small and Medium-Sized Enterprises</t>
  </si>
  <si>
    <t>Mimeo, Erasmus University Rotterdam</t>
  </si>
  <si>
    <t>Inkomensongelijkheid neemt hier niet toe</t>
  </si>
  <si>
    <t>Teulings, Coen</t>
  </si>
  <si>
    <t>NRC-Handelsblad</t>
  </si>
  <si>
    <t>Hoffmann R , Borsboom G, Saez M, Mari-Dell'Olmo M, Burström B, Corman D, Costa C, Deboosere P, Domínguez-Berjón MF, Dzúrová D, Gandarillas A Gotsens M, Kovács K, Mackenbach J, Martikainen P, Maynou-Pujolràs L, Morrison J, Palència L, Pérez G, Pikhart H, Rodríguez-Sanz M, Santana P, Saurina C, Tarkiainen L, Borrell C.</t>
  </si>
  <si>
    <t>Int J Health Geogr</t>
  </si>
  <si>
    <t>Gotsens M, Marí-Dell'Olmo M, Pérez K, Palència L, Martinez-Beneito MA, Rodríguez-Sanz M, Burström B, Costa G, Deboosere P, Domínguez-Berjón F, Dzúrová D, Gandarillas A, Hoffmann R, Kovacs K, Marinacci C, Martikainen P, Pikhart H, Rosicova K, Saez M, Santana P, Riegelnig J, Schwierz C, Tarkiainen L, Borrell C.</t>
  </si>
  <si>
    <t>Health Place;24:165-72. doi: 10.1016/</t>
  </si>
  <si>
    <t>Borrell C, Marí-Dell'olmo M, Palència L, Gotsens M, Burström B, Domínguez-Berjón F, Rodríguez-Sanz M, Dzúrová D, Gandarillas A, Hoffmann R, Kovacs K, Marinacci C, Martikainen P, Pikhart H, Corman D, Rosicova K, Saez M, Santana P, Tarkiainen L, Puigpinós R, Morrison J, Pasarín MI, Díez E.</t>
  </si>
  <si>
    <t>Scand J Public Health. 24. PubMed PMID: 24567425.</t>
  </si>
  <si>
    <t>Fettelaar, D. &amp; E. Smeets</t>
  </si>
  <si>
    <t>Enschede: Gildeprint</t>
  </si>
  <si>
    <t>Pensioen, consumptiebehoeften en ouderenzorg</t>
  </si>
  <si>
    <t>Knoef M, Hussem A, Soede A &amp; de Bresser J</t>
  </si>
  <si>
    <t>Netspar Design Paper 31</t>
  </si>
  <si>
    <t>Den Haag: Sdu</t>
  </si>
  <si>
    <t>The Ability to Pay for Long-Term Care in the Netherlands: A Life-cycle Perspective</t>
  </si>
  <si>
    <t>Hussem, Arjen, Casper van Ewijk, Harry ter Rele &amp; Albert Wong</t>
  </si>
  <si>
    <t>De Economist</t>
  </si>
  <si>
    <t>A Hedonic Price Analysis of the Value of Industrial Sites</t>
  </si>
  <si>
    <t>Working Paper 10, PBL</t>
  </si>
  <si>
    <t>A hedonic price analysis of the value of industrial sites</t>
  </si>
  <si>
    <t xml:space="preserve"> Journal of Property Research. DOI: 10.1080/09599916.2013.836556.</t>
  </si>
  <si>
    <t>An indicator for decline of industrial estates</t>
  </si>
  <si>
    <t>Journal of European Real Estate Research 5(2).</t>
  </si>
  <si>
    <t>Evaluating Regeneration Policies for Rundown Industrial Sites in the Netherlands.</t>
  </si>
  <si>
    <t>Working Paper 8, PBL</t>
  </si>
  <si>
    <t>Evaluating urban regeneration: an assessment of the effectiveness of regeneration policies for run-down industrial sites in the Netherlands (forthcoming)</t>
  </si>
  <si>
    <t>Van der Veer J, Rijken M.</t>
  </si>
  <si>
    <t>NIVEL</t>
  </si>
  <si>
    <t>Bakens, J., P. Mulder &amp; P. Nijkamp</t>
  </si>
  <si>
    <t>Journal of Regional Science, vol. 53, no. 1, pp. 8-36.</t>
  </si>
  <si>
    <t>Dissertation, VU University Amsterdam, Thela Thesis, Amsterdam.</t>
  </si>
  <si>
    <t>Estimating the impact of trade, offshoring and multinationals on job loss and job finding</t>
  </si>
  <si>
    <t>CPB Discussion Paper 252</t>
  </si>
  <si>
    <t>Malmivaara A, et al.</t>
  </si>
  <si>
    <t>European Journal of Neurology 22(2); 284-91</t>
  </si>
  <si>
    <t>How to stimulate single mothers on welfare to find a job: evidence from a policy experiment</t>
  </si>
  <si>
    <t xml:space="preserve">Knoef, M.G. &amp; Ours, J.C. van </t>
  </si>
  <si>
    <t>Leiden University Repository</t>
  </si>
  <si>
    <t xml:space="preserve">Bevordering arbeidsparticipatie bijstandsmoeders </t>
  </si>
  <si>
    <t xml:space="preserve">Knoef, M.G.&amp; Ours, J.C. van </t>
  </si>
  <si>
    <t>Driving factors for service providers to participate in standardization: Insights from the Netherlands</t>
  </si>
  <si>
    <t>Blind, Knut</t>
  </si>
  <si>
    <t>Industry&amp;Innovation</t>
  </si>
  <si>
    <t>More labour market flexibility for more innovation? Evidence fromemployer–employee linked micro data</t>
  </si>
  <si>
    <t>Wachsena, Eva &amp; Knut Blind</t>
  </si>
  <si>
    <t>Elsevier</t>
  </si>
  <si>
    <t>Industry and Innovation</t>
  </si>
  <si>
    <t>Wakke, Paul, Knut Blind &amp; Henk J. De Vries</t>
  </si>
  <si>
    <t>Routledge</t>
  </si>
  <si>
    <t>De veerkracht van regionale arbeidsmarkten</t>
  </si>
  <si>
    <t>Weterings, Anet, Dario Diodato &amp; Martijn van den Berge</t>
  </si>
  <si>
    <t>Turks and Moroccans in the Low Countries around the year 2000: determinants of religiosity, trend in religiosity and determinants of the trend</t>
  </si>
  <si>
    <t>Smit, Fransje</t>
  </si>
  <si>
    <t>De Dorpenmonitor. Ontwikkelingen in de leefsituatie van dorpsbewoners</t>
  </si>
  <si>
    <t>Steenbekkers, Anja en Lotte Vermeij</t>
  </si>
  <si>
    <t>Impact of the post-2008 economic crisis on harmful drinking in the Dutch working-age population</t>
  </si>
  <si>
    <t>Goeija C.M. de,  Bregje van der Wouden, Jan-Willem Bruggink, Ferdy Otten &amp; Anton E. Kunst</t>
  </si>
  <si>
    <t>Nationaal Prevalentie Onderzoek Middelengebruik 2009: De kerncijfers</t>
  </si>
  <si>
    <t>Rooij, Antonius J. van &amp; Tim M. Schoenmakers, Dike van de Mheen</t>
  </si>
  <si>
    <t>IVO</t>
  </si>
  <si>
    <t>Nationaal prevalentie onderzoek middelengebruik 2005</t>
  </si>
  <si>
    <t>Rodenburg, Gerda, Renske Spijkerman, Regina van den Eijnden &amp; Dike van de Mheen</t>
  </si>
  <si>
    <t>Comparison of STI-related consultations among ethnic groups in the Netherlands: an epidemiologic study using electronic records from general practices</t>
  </si>
  <si>
    <t>Woestenberg, Petra J., Aloysia A. M. van Oeffelen, Irina Stirbu-Wagner, Birgit H. B. van Benthem, Jan E. A. M. van Bergen &amp; Ingrid V. F. van den Broek</t>
  </si>
  <si>
    <t>BMC Family Practice 16:70</t>
  </si>
  <si>
    <t>Weltevrede, A.M., J. de Boom, M. van San, T. Tudjman, P. van Wensveen, T. Konrad</t>
  </si>
  <si>
    <t>Risbo</t>
  </si>
  <si>
    <t>De Uitzendmonitor in: 'Flexpocket. Feiten en cijfers over flexibele arbeidsvormen</t>
  </si>
  <si>
    <t>ABU</t>
  </si>
  <si>
    <t>Uitzendmonitor 2014</t>
  </si>
  <si>
    <t>Vermeulen, H., R. Schellingerhout , R. Sijbers &amp; E. van de Wetering</t>
  </si>
  <si>
    <t>Modeling Regional House Prices in the Netherlands</t>
  </si>
  <si>
    <t>Philipsen, W.J.M.</t>
  </si>
  <si>
    <t>ABF Research</t>
  </si>
  <si>
    <t>Cross-country analysis of ICT impact using firm-level data: Micro Moments Database and Research Infrastructure</t>
  </si>
  <si>
    <t>Bartelsman, Eric, Eva Hagsten &amp; Michael Polder</t>
  </si>
  <si>
    <t>Eurostat</t>
  </si>
  <si>
    <t>Bartelsman, Eric J. &amp; Peter N. Gal</t>
  </si>
  <si>
    <t>VU_FEWEB</t>
  </si>
  <si>
    <t>Employment Protection, Technology Choice, and Worker Allocation</t>
  </si>
  <si>
    <t>Bartelsman, E., Gautier, P., &amp; De Wind, J.</t>
  </si>
  <si>
    <t>Institute for the Study of Labor (IZA), IZA Discussion Papers No. 4895</t>
  </si>
  <si>
    <t>Szerencsi, Karolina</t>
  </si>
  <si>
    <t>Printservice</t>
  </si>
  <si>
    <t>Meester, Edith de &amp; Saskia Keuzenkamp</t>
  </si>
  <si>
    <t>Loopbaanmonitor Onderwijs 2011: Onderzoek naar de arbeidsmarktpositie van afgestudeerden van de lerarenopleidingen in 2010</t>
  </si>
  <si>
    <t>Leenen, drs. H. van &amp; drs. F.E.M. Bemsden</t>
  </si>
  <si>
    <t>Regioplan</t>
  </si>
  <si>
    <t>General practitioners’ contribution to the management of community-acquired pneumonia in the Netherlands: a retrospective analysis of primary care, hospital, and national mortality databases with individual data linkage.</t>
  </si>
  <si>
    <t>Snijders, Biance EP, Wim van der Hoek, Irina Stirbu, Marianne AB van der Sande &amp; Arianne B van Gageldonk-Lafeber</t>
  </si>
  <si>
    <t>Primary Care Respiratory Journal 22(4): 400-405</t>
  </si>
  <si>
    <t>Monitor Inkomens Ondernemers Editie 2013</t>
  </si>
  <si>
    <t>Vendrig, J.P.</t>
  </si>
  <si>
    <t>Panteia</t>
  </si>
  <si>
    <t>Kenmerken van wederuitvoerbedrijven</t>
  </si>
  <si>
    <t>Wederuitvoer op bedrijfsniveau bekeken</t>
  </si>
  <si>
    <t>Kuypers, Fred, , Arjan Lejour, Oscar Lemmers &amp; Pascal Ramaekers</t>
  </si>
  <si>
    <t>TPEdigitaal 7(3) 117-138</t>
  </si>
  <si>
    <t>Preenen, P. T. Y., Vergeer, R. A., Kraan, K. O., &amp; Dhondt, S.</t>
  </si>
  <si>
    <t>Economic and Industrial Democracy 1-23. Doi: 10.1177/0143831X15572836</t>
  </si>
  <si>
    <t>Will ‘structural reforms’ of labour markets reduce productivity growth? A firm-level investigation</t>
  </si>
  <si>
    <t>Vergeer Robert, Steven Dhondt, Alfred Kleinknecht &amp; Karolus Kraan</t>
  </si>
  <si>
    <t>European Journal of Economics and Economic Policies: Intervention</t>
  </si>
  <si>
    <t>Kwaliteit van de arbeid, preventieve arbomaatregelen en productiviteit Koppeling WEA-steekproef aan registratiebestanden</t>
  </si>
  <si>
    <t>Dhondt S.,  R. Vergeer, K.O. Kraan, I.L.D. Houtman, E.M.M. de Vroome &amp; M.H.J. van Zwieten</t>
  </si>
  <si>
    <t>TNO</t>
  </si>
  <si>
    <t>Terecht in de jeugdzorg: Voorspellers van kind- en opvoedproblematiek en jeugdzorggebruik</t>
  </si>
  <si>
    <t xml:space="preserve">Bot, Sander, Simone de Roos, Klarita Sadiraj, Saskia Keuzenkamp, Angela van den Broek &amp; Ellen Kleijnen </t>
  </si>
  <si>
    <t>Groeit de jeugdzorg door? Het beroep op de voorzieningen. Realisatie 2001-2011 en raming 2011-2017</t>
  </si>
  <si>
    <t xml:space="preserve">Sadiraj, Klarita, Michiel Ras, Lisa Putman &amp; Jedid-Jah Jonker </t>
  </si>
  <si>
    <t>Kostenverschillen in de jeugdzorg: Kostenverschillen in de jeugdzorg_web</t>
  </si>
  <si>
    <t xml:space="preserve">Ras, Michiel, Evert Pommer &amp; Klarita Sadiraj  </t>
  </si>
  <si>
    <t>Kinderopvangbeleid en arbeidsparticipatie van vrouwen</t>
  </si>
  <si>
    <t>Voltman, Marloes &amp; Henk-Wim de Boer en Hugo Erken</t>
  </si>
  <si>
    <t>Besparingsgetallen - energiebesparende maatregelen</t>
  </si>
  <si>
    <t>Menkveld, M. (ECN) &amp; K. Leidelmeijer (RIGO), P. Vethman (ECN), E. Cozijnsen (RIGO)</t>
  </si>
  <si>
    <t>ECN</t>
  </si>
  <si>
    <t>Increased risk of CVD after VT is determined by common etiologic factors</t>
  </si>
  <si>
    <t>Roach RE, Lijfering WM, Flinterman LE, Rosendaal FR &amp; Cannegieter SC</t>
  </si>
  <si>
    <t>Blood. Jun 13;121(24):4948-54</t>
  </si>
  <si>
    <t>Distortion of regional old-age mortality due to late-life migration in the Netherlands?</t>
  </si>
  <si>
    <t>Kibele, E., &amp; Janssen, F.</t>
  </si>
  <si>
    <t>Demographic Research, 29, 105-132</t>
  </si>
  <si>
    <t>Mevissen, J., L. Heuts &amp; H. van Leenen</t>
  </si>
  <si>
    <t>Deeltijd-WW: de ultieme flexicurity-tool? In: Dynamiek op de Nederlandse Arbeidsmarkt III</t>
  </si>
  <si>
    <t>Pavlopoulos, Dimitris, Katja Chkalova &amp; Ton van Maanen</t>
  </si>
  <si>
    <t>CBS &amp; TNO</t>
  </si>
  <si>
    <t>Evaluatie WBSO 2006-2010: Effecten, doelgroepbereik en uitvoering</t>
  </si>
  <si>
    <t>Verhoeven,  W.H.J. ,  A.J. van Stel &amp; N.G.L. Timmermans</t>
  </si>
  <si>
    <t>Panteia EIM</t>
  </si>
  <si>
    <t>Vries, Nardo de &amp; Nicole Braams</t>
  </si>
  <si>
    <t>Panteia en CBS</t>
  </si>
  <si>
    <t>The Impact of EUREKA in the Netherlands</t>
  </si>
  <si>
    <t>Damvad</t>
  </si>
  <si>
    <t>De economische impact van arbeidsmigratie: verdringingseffecten 1999-2008</t>
  </si>
  <si>
    <t>Berkhout, Ernest, Arjan Heyma &amp; Siemen van der Werff</t>
  </si>
  <si>
    <t>Beheerplan voor LMS en NRM</t>
  </si>
  <si>
    <t>Rik van Grol</t>
  </si>
  <si>
    <t>Explaining the Flight of Cupid’s Arrow: A Spatial Random Utility Model of Partner Choice</t>
  </si>
  <si>
    <t>Haandrikman, Karen &amp; Leo J. G. van Wissen</t>
  </si>
  <si>
    <t>European Journal of Population</t>
  </si>
  <si>
    <t>GION Onderwijs/Onderzoek</t>
  </si>
  <si>
    <t>Geslaagd in de stad</t>
  </si>
  <si>
    <t>Koster, S., &amp; Venhorst, V.</t>
  </si>
  <si>
    <t>Girugten</t>
  </si>
  <si>
    <t>Groningen: Faculteit Ruimtelijke Wetenschappen, Rijksuniversiteit Groningen.</t>
  </si>
  <si>
    <t>Spatial Economic Analysis, 9(4), 436-464. 10.1080/17421772.2014.961537</t>
  </si>
  <si>
    <t>EURIS/BMOI</t>
  </si>
  <si>
    <t>International Regional Science Review</t>
  </si>
  <si>
    <t>The  Geography of Creative Industries and Cultural Heritage (forthcoming)</t>
  </si>
  <si>
    <t>Journal of Cultural and Creative Industries</t>
  </si>
  <si>
    <t>Effect woonsituatie op arbeidsaanbod</t>
  </si>
  <si>
    <t>Siemen van der Werf en Jurriaan Prins</t>
  </si>
  <si>
    <t>Het belang van het innovatieregime voor flexibel werk en innovatie</t>
  </si>
  <si>
    <t>Economisch Statistische Berichten. Jaargang 98(4659), 3 : 276-279.</t>
  </si>
  <si>
    <t>Zijn er inkomsten of niet; ff checken</t>
  </si>
  <si>
    <t>Inspectie Werk en Inkomen, Min SZW</t>
  </si>
  <si>
    <t>Afbouw van het WSW bestand</t>
  </si>
  <si>
    <t>Berden, Caroline &amp; Caren Tempelman</t>
  </si>
  <si>
    <t>Bouwstenen verdeelmodel participatiebudget eindrapport</t>
  </si>
  <si>
    <t>Bouwstenen verdeelmodel participatiebudget Technisch eindrapport</t>
  </si>
  <si>
    <t>Bijwaard, Govert, Hans van Kippersluis &amp; Justus Veenman</t>
  </si>
  <si>
    <t>Tinbergen Institute</t>
  </si>
  <si>
    <t>Education and health: The role of cognitive ability</t>
  </si>
  <si>
    <t>Journal of Health Economics 42: 29-43</t>
  </si>
  <si>
    <t>Vink, Rob, Hans Mariën &amp; Astrid Vloet</t>
  </si>
  <si>
    <t>IVA</t>
  </si>
  <si>
    <t>Hamaker, Marije E., Esther Bastiaannet, Dorothea Evers, Water, Willemien van de, Carolien H. Smorenburg, Ed Maartense, Anneke M. Zeilemaker, Gerrit-Jan Liefers, Lydia van der Geest, Sophia E. de Rooij, Barbara C. van Munster &amp; Johanneke E.A. Portielje</t>
  </si>
  <si>
    <t>European Journal of Cancer (2013) 49, 545– 552</t>
  </si>
  <si>
    <t>A closer look at the role of healthcare in the recent mortality decline in the Netherlands: results of a record linkage study</t>
  </si>
  <si>
    <t>Peters, F., Nusselder, W. J., &amp; Mackenbach, J. P.</t>
  </si>
  <si>
    <t>Journal of Epidemiology and Community Health</t>
  </si>
  <si>
    <t>Health inequalities in the Netherlands: trends in quality-adjusted life expectancy (QALE) by educational level</t>
  </si>
  <si>
    <t>Gheorghe M, Wubulihasimu P, Peters F, Nusselder W &amp; Van Baal P.H.</t>
  </si>
  <si>
    <t>European Journal of Public Health</t>
  </si>
  <si>
    <t>Resting Heart Rate Is a Risk Factor for Mortality in Chronic Obstructive Pulmonary Disease, but Not for Exacerbations or Pneumonia</t>
  </si>
  <si>
    <t>PLoS One 9(8):e105152.</t>
  </si>
  <si>
    <t>Evaluation of cardiac surgery mortality rates: 30-day mortality or longer follow-up?</t>
  </si>
  <si>
    <t>European Journal of Cardio-Thoracic Surgery 44 875-883</t>
  </si>
  <si>
    <t>Safety in cardiac surgery</t>
  </si>
  <si>
    <t>Siregar, Sabrina</t>
  </si>
  <si>
    <t>Gildeprint Drukkerijen, Enschede</t>
  </si>
  <si>
    <t>Trends and outcomes of valve surgery: 16-year results of Netherlands Cardiac Surgery National Database</t>
  </si>
  <si>
    <t>Siregar, Sabrina, Frederiek de Heer, Rolf H.H. Groenwold, Michel I.M. Versteegh, Jos A. Bekkers, Emile S. Brinkman, Michiel L. Bots, Yolanda van der Graaf &amp; Lex A. van Herwerden</t>
  </si>
  <si>
    <t>European Journal of Cardio-Thoracic Surgery 46 386-397</t>
  </si>
  <si>
    <t>PrO-loopbanen van zes jaar. Loopbanen in onderwijs en arbeid van leerlingen met een beschikking Praktijkonderwijs, 2005/06 - 2010/11</t>
  </si>
  <si>
    <t>Koopman, P.N.J., Voncken, E.</t>
  </si>
  <si>
    <t>Kohnstamm Instituut</t>
  </si>
  <si>
    <t>Quality of Life and Time to Death: Have the Health Gains of Preventive Interventions Been Underestimated?</t>
  </si>
  <si>
    <t>Gheorghe, Maria, Werner B. F. Brouwer &amp; Pieter H. M. van Baal</t>
  </si>
  <si>
    <t>Med Decis Making Journal</t>
  </si>
  <si>
    <t>Changes in the income distribution of the Dutch elderly between 1989-2020: a dynamic microsimulation</t>
  </si>
  <si>
    <t>Knoef, M.G., R.J.M. Alessie &amp; A.S. Kalwij</t>
  </si>
  <si>
    <t>Review of Income and Wealth, 59(3), pp. 460-485</t>
  </si>
  <si>
    <t>Measuring retirement savings adequacy: a multi-pillar approach in the Netherlands</t>
  </si>
  <si>
    <t>Knoef, M.G., J. Been, R.J.M. Alessie, C.L.J. Caminada, K.P. Goudswaard &amp; A.S. Kalwij</t>
  </si>
  <si>
    <t>Netspar Design Paper 25</t>
  </si>
  <si>
    <t>Pathways to retirement and mortality risk in the Netherlands</t>
  </si>
  <si>
    <t>Kalwij, A., R. Alessie &amp;Marike Knoef</t>
  </si>
  <si>
    <t>Eur J Population 29: 221-238</t>
  </si>
  <si>
    <t>Pensioeninkomens in de toekomst</t>
  </si>
  <si>
    <t>Knoef, M.G., K.P. Goudswaard, K. Caminada &amp; J. Been</t>
  </si>
  <si>
    <t>Economisch Statistische Berichten, pp. 734-737</t>
  </si>
  <si>
    <t>The association between individual income and remaining life expectancy at the age of 65 in the Netherlands</t>
  </si>
  <si>
    <t>Kalwij, Adriaan, S., Rob J.M. Alessie &amp; Marike G. Knoef</t>
  </si>
  <si>
    <t>Demography 50 : 181-206</t>
  </si>
  <si>
    <t>Individuals’ Survival Expectations and Actual Mortality</t>
  </si>
  <si>
    <t>Kutlu-Koc, Vesile &amp; Adriaan Kalwij</t>
  </si>
  <si>
    <t>Netspar. DP 05/2013-013</t>
  </si>
  <si>
    <t>Vrouwenemancipatie 2014</t>
  </si>
  <si>
    <t>Lindeman, Ellen &amp; Sanne de Ruiter</t>
  </si>
  <si>
    <t>Bureau Onderzoek en Statistiek, Gemeente Amsterdam</t>
  </si>
  <si>
    <t>Afdeling Onderzoek, Informatie en Statistiek, Gemeente Amsterdam</t>
  </si>
  <si>
    <t>Amsterdamse Armoedemonitor 2013</t>
  </si>
  <si>
    <t>Heijnen, Merijn, Laure Michon, Nienke Nottelman, Clemens Wenneker &amp; Jeroen Slot</t>
  </si>
  <si>
    <t>Gemeente Amsterdam; Onderzoek, Informatie en Statistiek</t>
  </si>
  <si>
    <t>Jaarboek Stadsdelen in cijfers (jaarlijks), w.o.: Tabellen over uitkeringen en over hoogst afgerond opleidingsniveau</t>
  </si>
  <si>
    <t>Gemeente Amsterdam, Bureau Onderzoek en Statistiek</t>
  </si>
  <si>
    <t>Gemeente Amsterdam Economie in opdracht van PRES</t>
  </si>
  <si>
    <t>Air pollution and Mortality in 7 Million Adults - The Dutch Environmental Longitudinal Study (DUELS)</t>
  </si>
  <si>
    <t>Fischer, Paul H., Marten Marra, Caroline B. Ameling, Gerard Hoek, Rob Beelen, Kees de Hoogh, Oscar Breugelmans, Hanneke Kruize, Nicole A.H. Janssen, and Danny Houthuijs</t>
  </si>
  <si>
    <t>Environmental Health Perspectives</t>
  </si>
  <si>
    <t>Nederlanders sterven eerder door stikstof</t>
  </si>
  <si>
    <t>Köhler, Wim</t>
  </si>
  <si>
    <t>NRC, 12-3-2015</t>
  </si>
  <si>
    <t>Haalbaarheidsstudie snelle groeiers. Mogelijkheden snelle groeiers op basis van CBS-bronnen.</t>
  </si>
  <si>
    <t>Timmermans, N.G.L. &amp; T. Span, Msc.</t>
  </si>
  <si>
    <t>Panteia_EIM</t>
  </si>
  <si>
    <t>Mortality in patients with rheumatoid arthritis: a 15.year prospective cohort study</t>
  </si>
  <si>
    <t>Hoek J. van den, H. C. Boshuizen, L. D. Roorda, G. J. Tijhuis, M. T. Nurmohamed, G. A., M. van den Bos &amp; J. Dekker</t>
  </si>
  <si>
    <t>Springer Media</t>
  </si>
  <si>
    <t>Trend in and predictors for cardiovascular mortality in patients with rheumatoid arthritis over a period of 15 years: a prospective cohort study</t>
  </si>
  <si>
    <t>Clinical and Experimental Rheumatology</t>
  </si>
  <si>
    <t>Association of Somatic Comorbidities and Comorbid Depression With Mortality in Patients With Rheumatoid Arthritis: A 14-Year rospective Cohort Study</t>
  </si>
  <si>
    <t>Hoek J. van den, H. C. Boshuizen, L. D. Roorda, G. J. Tijhuis,  M. T. Nurmohamed, J. Dekker &amp; G. A. M. van den Bos</t>
  </si>
  <si>
    <t>American College of Rheumatology</t>
  </si>
  <si>
    <t>Immigranten op de stedelijke woningmarkt. In: Jaarrapport Integratie 2012</t>
  </si>
  <si>
    <t>Boschman, S &amp; F. van Dam</t>
  </si>
  <si>
    <t>Cardiovascular diseases-related hospital admissions of patients with inflammatory arthritis</t>
  </si>
  <si>
    <t>Ursum, J., Nielen, M.M.J., Twisk, J.W.R., Peters, M.J.L., Schellevis, F.G., Nurmohamed, M.T. &amp; Korevaar, J.C.</t>
  </si>
  <si>
    <t>Journal of Rheumatology: 42(2), 188-192</t>
  </si>
  <si>
    <t>Hopman P, et al.</t>
  </si>
  <si>
    <t>Eur J Intern Med (2015)</t>
  </si>
  <si>
    <t>The association between adolescents’ health and disparities in school career: a longitudinal cohort study</t>
  </si>
  <si>
    <t>Uiters Ellen, Erica Maurits, Mariël Droomers, Marieke Zwaanswijk, Robert A Verheij &amp; Fons van der Lucht</t>
  </si>
  <si>
    <t>BMC Public Health 14:1104</t>
  </si>
  <si>
    <t>Kennissynthese chronisch ziek en werk: arbeidsparticipatie door mensen met een chronische ziekte of lichamelijke beperking.</t>
  </si>
  <si>
    <t>Maurits, E., Rijken, M., Friele, R.</t>
  </si>
  <si>
    <t>Maatschappelijke kosten van astma, COPD en respiratoire allergie.</t>
  </si>
  <si>
    <t>Suijkerbuijk, Anita W.M., G.A. (Ardine) de Wit, Alet H. Wijga, Monique J.W.M. Heijmans, Martine Hoogendoorn, Maureen P.M.H. Rutten-van Mölken, Erica E.M. Maurits, Rudolf T. Hoogenveen en Talitha L. Feenstra</t>
  </si>
  <si>
    <t>Nederlands Tijdschrift voor Geneeskunde, 2013: 157</t>
  </si>
  <si>
    <t>Maatschappelijke kosten voor astma, COPD en respiratoire allergie.</t>
  </si>
  <si>
    <t>Suijkerbuijk A.W.M., Hoogeveen R.T., Wit G.A. de, Wijga A.H., Hoogendoorn E.J.I., Rutten-van Mölken M.P.M.H., Feenstra T.L.</t>
  </si>
  <si>
    <t>Werken met een chronische longaandoening</t>
  </si>
  <si>
    <t>Maurits, Erica, Monique Heijmans, Irina Stirbu-Wagner &amp; Mieke Rijken</t>
  </si>
  <si>
    <t>Nivel</t>
  </si>
  <si>
    <t>Erning, F.N. van, L.N. van Steenbergen, V.E.P.P. Lemmens, H.J.T. Rutten, H. Martijn, D.J. van Spronsen &amp; M.L.G. Janssen-Heijnen</t>
  </si>
  <si>
    <t>European Journal of Cancer 50, 1731-1739</t>
  </si>
  <si>
    <t>Variation in causes of death in patients with non-small cell lung cancer according to stage and time since diagnosis</t>
  </si>
  <si>
    <t>Janssen-Heijnen, M.L.G., F.N. van Erning, D.K. De Ruysscher, J.W.W. Coebergh &amp; H.J.M. Groen</t>
  </si>
  <si>
    <t>Annals of Oncology 00: 1-6</t>
  </si>
  <si>
    <t>Arbeidsmarktanalyse Rijk: een vooruitblik naar 2016 en 2020</t>
  </si>
  <si>
    <t>Ministerie van Binnenlandse Zaken en Koninkrijksrelaties</t>
  </si>
  <si>
    <t>De mobiliteit van oudere ambtenaren</t>
  </si>
  <si>
    <t>Economische Statistische Berichten, No. 4622, pp. 682-683</t>
  </si>
  <si>
    <t>Do Wages Remain Increasing at Older Age? Evidence on the Wage Cushion in the Netherlands?</t>
  </si>
  <si>
    <t xml:space="preserve"> De Economist, Vol. 162(4), pp. 433-460 (ook als CPB DP 282)</t>
  </si>
  <si>
    <t>Flexibilisering over generaties</t>
  </si>
  <si>
    <t>Economische Statistische Berichten, No. 4629, pp. 109-111</t>
  </si>
  <si>
    <t>Labour Market Effects of Job Displacement for Prime-Age and Older Workers</t>
  </si>
  <si>
    <t>CPB DP 285</t>
  </si>
  <si>
    <t>Labour-market outcomes of older workers in the Netherlands: Measuring job prospects using the occupational age structure</t>
  </si>
  <si>
    <t>De Economist, vol. 161, no. 2, pp. 199-218 (ook als CPB Discussion Paper 234)</t>
  </si>
  <si>
    <t>Graaf-Zijl, Marloes de, Albert van der Horst &amp; Daniël van Vuuren</t>
  </si>
  <si>
    <t>CPB Policy Brief 11</t>
  </si>
  <si>
    <t>De financiële positie van het MKB in 2014 en 2015</t>
  </si>
  <si>
    <t>Span, Tommy &amp;Wim Verhoeven</t>
  </si>
  <si>
    <t>Dutch patients with dementia don't die in hospitals</t>
  </si>
  <si>
    <t>MacNeil Vroomen J, Bosmans JE, Holman R, van Rijn M, Buurman BM ,van Hout, HPJ &amp; de Rooij, SE.</t>
  </si>
  <si>
    <t>JAGS</t>
  </si>
  <si>
    <t>Arbeidsmigratie in het Stadsgewest Haaglanden. Huisvesting tijdelijke arbeidsmigranten.</t>
  </si>
  <si>
    <t>Timmermans, N.G.L., B. van der Linden &amp; W.H. J. Verhoeven</t>
  </si>
  <si>
    <t>Evaluatie subsidieregeling scholing jonggehandicapten met ernstige scholingsbelemmeringen.</t>
  </si>
  <si>
    <t>Wel, J.J. van der, L. Mallee, F.A. Rosing &amp; B. van Lierop</t>
  </si>
  <si>
    <t>De sociaaleconomische situatie van langdurig flexibele werknemers</t>
  </si>
  <si>
    <t>Heyma, A. &amp; Werff, S. van der</t>
  </si>
  <si>
    <t>SEO-rapport, 2013-09</t>
  </si>
  <si>
    <t>Lagere doorstroom van flex naar vast: conjunctuur of trend? In: R. van Gaalen, A. Goudswaard, J. Sanders &amp; W. Smits (redactie). Dynamiek op de Nederlandse arbeidsmarkt. De focus op flexibilisering. 207-233.</t>
  </si>
  <si>
    <t>Heyma, A. &amp; Van der Werff, S.</t>
  </si>
  <si>
    <t>Den Haag/Heerlen: CBS</t>
  </si>
  <si>
    <t>Do treatment quality indicators predict cardiovascular outcomes in patients with diabetes?</t>
  </si>
  <si>
    <t>Sidorenkov G, Voorham J, de Zeeuw D, Haaijer-Ruskamp FM &amp; Denig P</t>
  </si>
  <si>
    <t>PLoS One. 30;8(10):e78821</t>
  </si>
  <si>
    <t>Werkt werktijdverkorting? Evaluatie bijzondere werktijdverkorting en deeltijd WW.</t>
  </si>
  <si>
    <t>Groot, Nynke de, Rafiq Friperson, Jamie Weda en Philip de Jong</t>
  </si>
  <si>
    <t>APE</t>
  </si>
  <si>
    <t>Healthcare utilization in general practice before and after psychological treatment: A follow-up data linkage study in primary care.</t>
  </si>
  <si>
    <t>Prins, Marijn, Peter F.M. Verhaak, Dineke Smit &amp; Robert A. Verheij</t>
  </si>
  <si>
    <t>Scandinavian Journal of Primary Health Care; 32: 117-123</t>
  </si>
  <si>
    <t>Trendrapport Bewegen en Gezondheid. H4: Verschillen in gedrag en opvattingen over bewegen tussen etnische groepen.</t>
  </si>
  <si>
    <t>Dool, Remko van den &amp; Annet Tiessen-Raaphorst</t>
  </si>
  <si>
    <t>Ageing and entrepreneurship across Dutch regions</t>
  </si>
  <si>
    <t>Panteia_EIM, Research Report H201409</t>
  </si>
  <si>
    <t>Up or out? How individual research grants affect academic careers in The Netherlands</t>
  </si>
  <si>
    <t>Gerritsen, Sander Gerritsen, Erik Plug &amp; Karen van der Wiel</t>
  </si>
  <si>
    <t>The labour market for IT professionals in the Netherlands</t>
  </si>
  <si>
    <t>Benthem, W.J.A. van</t>
  </si>
  <si>
    <t>Tilburg University</t>
  </si>
  <si>
    <t>Een gezonder Nederland. Kernboodschappen van de Volksgezondheid Toekomst Verkenning 2014</t>
  </si>
  <si>
    <t>Hoeymans, N., A.J.M. van Loon, M. van den Berg, M.M. Harbers, H.B.M. Hilderink, J.A.M. van Oers &amp; C.G. Schoemake</t>
  </si>
  <si>
    <t>The role of entrepreneur's nationality in new firm life duration. In: Bernhard, I. (ed.), Geography of Growth. The Frequency, Nature and Consequences of Entrepreneurship and Innovation in Regions of Varying Density.</t>
  </si>
  <si>
    <t>Schutjens, V., N. de Vries &amp; A. Risselada</t>
  </si>
  <si>
    <t>Trollhattan: University West Reports 2014:2, pp. 695-714.</t>
  </si>
  <si>
    <t>Verklaringen van de overlevingskans van bedrijven, gestart door allochtone ondernemers</t>
  </si>
  <si>
    <t>Bruins, A., V.A.J.M Schutjens, N.E. de Vries &amp; A. Risselada</t>
  </si>
  <si>
    <t>2014_Eindrapport_Terugblikken_in_Hoogvliet</t>
  </si>
  <si>
    <t>Veldboer, Lex ,Reinout Kleinhans, Wenda Doff &amp; Maarten van Ham</t>
  </si>
  <si>
    <t>Sociale Vraagstukken</t>
  </si>
  <si>
    <t>Neighbourhood selection of non-western minorities; testing the own group preferences hypothesis using a conditional logit model</t>
  </si>
  <si>
    <t>Boschman, S. &amp; Ham, M. van</t>
  </si>
  <si>
    <t>Terugblikken en vooruitkijken in Hoogvliet.15 jaar stedelijke vernieuwing en de effecten op wonen, leefbaarheid en sociale mobiliteit</t>
  </si>
  <si>
    <t>OTB</t>
  </si>
  <si>
    <t>Prijzengids 2013-2014</t>
  </si>
  <si>
    <t>NIBUD</t>
  </si>
  <si>
    <t>Landelijke effectevaluatie wet tijdelijk huisverbod</t>
  </si>
  <si>
    <t>Vaan, K.B.M. de, G.H.J. Homburg &amp; M. Timmermans</t>
  </si>
  <si>
    <t>Wet tijdelijk huisverbod: procesmatige en juridische knelpunten</t>
  </si>
  <si>
    <t>Vaan, K.B.M. de, G.H.J. Homburg &amp; A. Schreijenberg</t>
  </si>
  <si>
    <t>The self-reinforcing effects of population decline: An analysis of differences in moving behaviour between rural neighbourhoods with declining and stable populations</t>
  </si>
  <si>
    <t>Elshof, Hans, Leo van Wissen &amp; Clara H. Mulder</t>
  </si>
  <si>
    <t>Journal of Rural Studies 36: 285-299</t>
  </si>
  <si>
    <t>Individual perceptions of local crime risk</t>
  </si>
  <si>
    <t>Salm, Martin &amp; Ben Vollaard</t>
  </si>
  <si>
    <t>CentER working paper</t>
  </si>
  <si>
    <t>Leren over het lokale inbraakrisico. Verslag van een onderzoek</t>
  </si>
  <si>
    <t>Centrum voor Criminaliteitspreventie en Veiligheid</t>
  </si>
  <si>
    <t>Berkhout, P.H.G. &amp; M. Damen</t>
  </si>
  <si>
    <t>RIGO Research en Advies</t>
  </si>
  <si>
    <t>Lopen buitenlanders in Nederland meer kans op een bedrijfsongeval?</t>
  </si>
  <si>
    <t>RIGO</t>
  </si>
  <si>
    <t>Safety, Reliability and Risk Analysis: beyond the horizon. Serious occupational accidents of non-Dutch workers in The Netherlands</t>
  </si>
  <si>
    <t>Berkhout, P.H.G., M. Damen, L. Belamy, M. Mud, H.J. Manuel &amp; J. Oh</t>
  </si>
  <si>
    <t>MKB en Ondernemerschap: Actieve ondernemingen en vestigingen (online dataset)</t>
  </si>
  <si>
    <t>Monitor Inkomens Ondernemers. Editie 2011</t>
  </si>
  <si>
    <t>Ruis, Arjan &amp; Sjaak Vendrig</t>
  </si>
  <si>
    <t>Adaptive behaviour in urban space: Residential mobility in response to social distance</t>
  </si>
  <si>
    <t>Musterd, S., Van Gent, W.P.C., Das, M. &amp; Latten, J.J.</t>
  </si>
  <si>
    <t>Urban Studies. DOI: 10.1177/0042098014562344</t>
  </si>
  <si>
    <t>Latten, J.J., M. Das, S. Musterd &amp; W.P.C. van Gent</t>
  </si>
  <si>
    <t>Bevolkingstrends</t>
  </si>
  <si>
    <t>Marchand, Wouter</t>
  </si>
  <si>
    <t>RUG. Proefschrift.</t>
  </si>
  <si>
    <t>Atherosclerosis; 237(2):521-7.</t>
  </si>
  <si>
    <t>Winst- en verliesgevende verzekerden</t>
  </si>
  <si>
    <t>De economische effecten van internationalisering in het hoger onderwijs</t>
  </si>
  <si>
    <t>Langetermijneffecten van re-integratie</t>
  </si>
  <si>
    <t>Lammers, Marloes, Lucy Kok &amp; Conny Wunsch</t>
  </si>
  <si>
    <t>Loopbaanmonitor Onderwijs 2012</t>
  </si>
  <si>
    <t>Leenen, H. van</t>
  </si>
  <si>
    <t>CBS/TNO</t>
  </si>
  <si>
    <t>Op achterstand. Discriminatie van niet-westerse migranten op de arbeidsmarkt</t>
  </si>
  <si>
    <t>Rolden HJA, van Bodegom D &amp; Westendorp RGJ</t>
  </si>
  <si>
    <t>PLoS ONE 9(12): e115478. doi:10.1371/journal.pone.0115478</t>
  </si>
  <si>
    <t>Variation in the costs of dying and the role of different health services, socio-demographic characteristics, and preceding health care expenses</t>
  </si>
  <si>
    <t>Rolden, Herbert J.A., David van Bodegom &amp; Rudi G.J. Westendorp</t>
  </si>
  <si>
    <t>Social Science &amp; Medicine 120 110-117</t>
  </si>
  <si>
    <t>Menkveld, M, J. Sipma, E. Cozijnsen &amp; K. Leidelmeijer</t>
  </si>
  <si>
    <t>ECN/RIGO</t>
  </si>
  <si>
    <t>Re-employment rates of older unemployed workers: decomposing the effect of bith cohorts and policy changes</t>
  </si>
  <si>
    <t>Koning, Pierre &amp; Max Raterink</t>
  </si>
  <si>
    <t>The Economist</t>
  </si>
  <si>
    <t>Werkhervatting door oudere werklozen</t>
  </si>
  <si>
    <t>Raterink, M. &amp; P. Koning</t>
  </si>
  <si>
    <t>De lonen in de Nederlandse publieke sector in internationaal perspectief</t>
  </si>
  <si>
    <t>Koning, Jaap de, Paul de Hek &amp; Jose Gravesteijn</t>
  </si>
  <si>
    <t>Lonen in de Nederlandse publieke sector in internationaal perspectief</t>
  </si>
  <si>
    <t>ESB, 99(4683)</t>
  </si>
  <si>
    <t>Return Migration of Foreign Students</t>
  </si>
  <si>
    <t>Wang, Qi</t>
  </si>
  <si>
    <t>Kerkhof, D., Korlaar, L., &amp; Veens, E.</t>
  </si>
  <si>
    <t>Dialogic</t>
  </si>
  <si>
    <t>Ex post innovation profile of LBO targets: Evidence from CIS data for the Netherlands</t>
  </si>
  <si>
    <t>Nadant, A.L. le &amp; Perdreau, F.</t>
  </si>
  <si>
    <t>Strategic Change 02/2014; 23:93-105. DOI: 10.1002/jsc.1</t>
  </si>
  <si>
    <t>Inflluence of different information sources to innovation performance: evidence from France, Netherlands and Croatia</t>
  </si>
  <si>
    <t>Pejic Bach, Mirjana, Andjelko Lojpur &amp; Sanja Pekovic</t>
  </si>
  <si>
    <t>Paper for ICES 2014 conference</t>
  </si>
  <si>
    <t>Ten-year mortality risk of patients undergoing elective PCI: long-term follow-up of the GENetic Determinants of Restenosis (GENDER) study - No increased mortality risk by restenosis, only by coronary artery disease itself</t>
  </si>
  <si>
    <t>Verschuren, J. J. W., S. Trompet, R. A. Tio, R. J. de Winter, P. A. F. M. Doevendans &amp; J. W. Jukema</t>
  </si>
  <si>
    <t>Neth Heart J 21:101-105</t>
  </si>
  <si>
    <t>VAAM: Vraag Aanbod Analyse Monitor</t>
  </si>
  <si>
    <t>Financieringsmonitor topsectoren 2013-1</t>
  </si>
  <si>
    <t>How immigrants adapt their smoking behaviour: comparative analysis among Turkish immigrants in Germany and the Netherlands</t>
  </si>
  <si>
    <t>Reiss, Katharina, Odile Sauzet, Jürgen Breckenkamp, Jacob Spallek &amp; Oliver Razum</t>
  </si>
  <si>
    <t>BMC Public Health, 14:844</t>
  </si>
  <si>
    <t>Rutten-Jacobs, Loes</t>
  </si>
  <si>
    <t>JAMA</t>
  </si>
  <si>
    <t>Brummelkamp, G.W. &amp; N.G.L. Timmermans</t>
  </si>
  <si>
    <t>Etil</t>
  </si>
  <si>
    <t>Faun, H.M.F.G.M. &amp; J.J.L. Meuwissen</t>
  </si>
  <si>
    <t>Schattingen van de omvang van huiselijk geweld in Nederland Vangst-hervangstschattingen 2010 2011</t>
  </si>
  <si>
    <t>Heijden, van der Peter G.M., Maarten J.L.F. Cruyff &amp; Ger H.C. van Gils</t>
  </si>
  <si>
    <t xml:space="preserve">Faculteit Sociale Wetenschappen: Departement Methoden en Technieken </t>
  </si>
  <si>
    <t>Weterings, A., Diodato, D. &amp; M. van den Berge</t>
  </si>
  <si>
    <t>Over.Werk, Tijdschrift van het Steunpunt WSE, 24(4), 42-50</t>
  </si>
  <si>
    <t>The resilience of regional labour markets to economic shocks: exploring the role of interactions among firms and workers</t>
  </si>
  <si>
    <t>Diodato, D. &amp; A. Weterings</t>
  </si>
  <si>
    <t>Journal of Economic Geography, first published online August 18, 2014</t>
  </si>
  <si>
    <t>Weterings, A. &amp; F. van Oort</t>
  </si>
  <si>
    <t>Economische Verkenningen Rotterdam</t>
  </si>
  <si>
    <t>De verdeelde triomf. Verkenning van stedelijk.economische ongelijkheid en opties voor beleid. Ruimtelijke Verkenningen 2016.</t>
  </si>
  <si>
    <t xml:space="preserve">Buitelaar, Edwin, Anet Weterings, Otto Raspe, Olaf Jonkeren &amp; Willem Boterman </t>
  </si>
  <si>
    <t>Gender-specific mortality in DTP-IPV- and MMR ± MenC-eligible age groups to determine possible sex-differential effects of vaccination: an observational study</t>
  </si>
  <si>
    <t>Schurink-van’t Klooster, Tessa M, Mirjam J Knol, Hester E de Melker &amp; Marianne AB van der Sande</t>
  </si>
  <si>
    <t>BMC Infectious Diseases 15:148</t>
  </si>
  <si>
    <t>De toekomstige inkomenspositie van AOW'ers: drie scenario's voor 2025</t>
  </si>
  <si>
    <t>Wilkens, Mathijn, Daniel van Vuuren &amp; Miriam Gielen</t>
  </si>
  <si>
    <t>Inkomen en vermogen van ouderen: analyse en beleidsopties. IBO Inkomens- en vermogenspositie en subsidiëring 65+’ers</t>
  </si>
  <si>
    <t>Ministerie van Financiën</t>
  </si>
  <si>
    <t>IBO-rapport</t>
  </si>
  <si>
    <t>Koopkracht, een kwestie van kwartjes</t>
  </si>
  <si>
    <t>Gielen, Miriam &amp; Mathijn Wilkens</t>
  </si>
  <si>
    <t>Uitvoeringsmonitor WWB Den Haag</t>
  </si>
  <si>
    <t>Are the rich more selfish than te poor, or do they just have more money? A natural field experiment</t>
  </si>
  <si>
    <t>Andreoni James, Nikos Nikiforakis &amp; Jan Stoop</t>
  </si>
  <si>
    <t>National Bureau of Economic Research</t>
  </si>
  <si>
    <t>Lessons from microeconometric R&amp;D subsidy studies for macro-modelling of innovation policy</t>
  </si>
  <si>
    <t>Beyer, Mila, Dirk Czarnitzki, Elena Huergo, Pierre Mohnen, Sebastian Pacher, Tuomas Takalo &amp; Otto Toivanen</t>
  </si>
  <si>
    <t>SIMPATIC working paper no. 04</t>
  </si>
  <si>
    <t>On the spatial differentiation in industrial dynamics. The case of the Netherlands (1994-2005)</t>
  </si>
  <si>
    <t>Capasso, M., Cefis, E. &amp; Frenken, K.</t>
  </si>
  <si>
    <t>Reconciling quantile autoregressions of firm size and variance-size scaling</t>
  </si>
  <si>
    <t>Capasso, M., Cefis, E. &amp; Sapio, A.</t>
  </si>
  <si>
    <t>Small Business Economics 41(3): 609-632</t>
  </si>
  <si>
    <t>Welfare effects of European R&amp;D support policies</t>
  </si>
  <si>
    <t>Czarnitzki, Dirk, Elena Huergo, Mila Köhler, Pierre Mohnen, Sebastian Pacher, Tuomas Takalo &amp; Otto Toivanen</t>
  </si>
  <si>
    <t>SIMPATIC working paper no. 34.</t>
  </si>
  <si>
    <t>Evaluatie Uitdagerskrediet en Innovatiekrediet</t>
  </si>
  <si>
    <t>Jong, Philip de (APE), Maartje Gielen (APE) &amp; Mirjam van Praag</t>
  </si>
  <si>
    <t>Monitor Technische Arbeidsmarkt 2013, SEO-rapport 2013-61</t>
  </si>
  <si>
    <t>Volkerink, M., Berkhout, E., Bisschop, P &amp; Heyma, A.</t>
  </si>
  <si>
    <t>Prestaties en loopbanen van zorgleerlingen. Secundaire analyses op COOL-data ten behoeve van evaluatie Passend Onderwijs.</t>
  </si>
  <si>
    <t>Roeleveld, J., Smeets, E., Ledoux, G., Wester, M. &amp; Koopman, P.</t>
  </si>
  <si>
    <t>Kohnstamm Instituut/ITS</t>
  </si>
  <si>
    <t>Arbeidsongevallen bij jonge nieuwkomers. Ongevalscijfers over arbeidsongevallen bij jongeren 15-24 jaar.</t>
  </si>
  <si>
    <t>VeiligheidNL</t>
  </si>
  <si>
    <t>Arbeidsongevallen in de bouw. Ongevalscijfers 2011.</t>
  </si>
  <si>
    <t>Arbeidsongevallen. Ongevalscijfers.</t>
  </si>
  <si>
    <t>Het betere werk. Economische effecten van een nieuw gevechtsvliegtuig.</t>
  </si>
  <si>
    <t>Bisschop, Paul, Carl Koopmans, Rogier Lieshout, Jurriaan Prins &amp; Maikel Volkerink</t>
  </si>
  <si>
    <t>Effect deelname ESF-projecten op werk/opleiding en strafrechtelijke recidive</t>
  </si>
  <si>
    <t>Weijters, G., Noordhuizen, S., Verweij, S., Wartna, B.S.J. &amp; Vergouw, S.J.</t>
  </si>
  <si>
    <t>WODC</t>
  </si>
  <si>
    <t>The Dutch Hospital Standardised Mortality Ratio (HSMR) method and cardiac surgery: benchmarking in a national cohort using hospital administration data versus a clinical database</t>
  </si>
  <si>
    <t>Siregar S, M E Pouw, K G M Moons, M I M Versteegh, M L Bots, Y van der Graaf, C J Kalkman, L A van Herwerden &amp; R H H Groenwold</t>
  </si>
  <si>
    <t>Heart 2014;100:702-710. doi:10.1136/heartjnl-2013-304645</t>
  </si>
  <si>
    <t>MKB en Ondernemersschap: Resultatenrekeningen MKB sectoren (online dataset)</t>
  </si>
  <si>
    <t>Aantallen geregistreerde en niet-geregistreerde burgers uit MOE-landen die in Nederland verblijven</t>
  </si>
  <si>
    <t>Van der Heijden, P.G.M., M. Cruyff en G. van Gils</t>
  </si>
  <si>
    <t>Bewegen op het werk. Een verkenning van kosten en baten.</t>
  </si>
  <si>
    <t>Berkhout, Peter, Martin Damen &amp; Rebecca Wouters</t>
  </si>
  <si>
    <t>RIGO Research en Advies BV</t>
  </si>
  <si>
    <t>Vraag en aanbod onderwijspersoneel MBO</t>
  </si>
  <si>
    <t>Lubberman, Jos, Carolien van Rens , Marjolijn Hovius &amp; Menno Wester</t>
  </si>
  <si>
    <t>ITS</t>
  </si>
  <si>
    <t>INBURGERING EN PARTICIPATIE. De bijdrage van inburgering aan de participatie van migranten in de Nederlandse samenleving</t>
  </si>
  <si>
    <t>Witvliet, Miranda, Miranda, Marja Paulussen-Hoogeboom, Arend Odé &amp; Eline Boersema</t>
  </si>
  <si>
    <t>EFFICIENCY OF HEALTH INVESTMENT: EDUCATION OR INTELLIGENCE?</t>
  </si>
  <si>
    <t>Bijwaard, Govert E &amp; Hans van Kippersluis</t>
  </si>
  <si>
    <t>Health Economics Published by John Wiley &amp; Sons Ltd.</t>
  </si>
  <si>
    <t>Energielabels en het gemeten energiegebruik van utiliteitsgebouwen</t>
  </si>
  <si>
    <t>TNO rapport R10916</t>
  </si>
  <si>
    <t>Naar Nationale Veiligheidsindices</t>
  </si>
  <si>
    <t>Vergouw S.J., P.W. Jennissen, G. Weijters &amp; P.R. Smit</t>
  </si>
  <si>
    <t>WODC, Cahier 2014-14</t>
  </si>
  <si>
    <t>Is there a risk of growing fast? A study of the relationship between firm growth and firm exit</t>
  </si>
  <si>
    <t>Kok, Jan de, Haibo Zhou, Peter van der Zwan &amp; Chantal Hartog</t>
  </si>
  <si>
    <t>Wie heeft schuld? Een kwantitatieve analyse van schulden bij uitkeringsgerechtigden</t>
  </si>
  <si>
    <t>Zwinkels, Wim</t>
  </si>
  <si>
    <t>UWV</t>
  </si>
  <si>
    <t>Praktijk en effecten van Bovenwettelijke CAO-aanvullingen ZW, loondoorbetaling bij ziekte, WIA en WW</t>
  </si>
  <si>
    <t>Cuelenaere, Drs. B., Drs. W.S. Zwinkels &amp;  A. A. Oostveen, MSc</t>
  </si>
  <si>
    <t>Epsilon research</t>
  </si>
  <si>
    <t>MKB en Ondernemerschap: Investeringen MKB (online dataset)</t>
  </si>
  <si>
    <t>Arbeidsongevallen in Nederland 2011</t>
  </si>
  <si>
    <t>Venema, Anita, Heleen den Besten, Marloes van der Klauw &amp; Jan Fekke Ybema</t>
  </si>
  <si>
    <t>Volkerink, Maikel, Ernest Berkhout, Paul Bisschop &amp; Arjan Heyma</t>
  </si>
  <si>
    <t>SEO-rapport nr. 2013-61</t>
  </si>
  <si>
    <t>Flexbarometer</t>
  </si>
  <si>
    <t>Ernest de Vroome</t>
  </si>
  <si>
    <t>Rapportage woningmarktregio</t>
  </si>
  <si>
    <t>Joost Wegstapel</t>
  </si>
  <si>
    <t>Evaluatie Ouderschapsplan. Een eerste verkenning</t>
  </si>
  <si>
    <t>Voert, M.J. ter &amp; T. Geurts</t>
  </si>
  <si>
    <t>Mobiliteitsbalans 2013</t>
  </si>
  <si>
    <t>KiM</t>
  </si>
  <si>
    <t>Kennisinstituut voor Mobiliteitsbeleid (KiM), Min. van Infrastructuur en Milieu</t>
  </si>
  <si>
    <t>Mobiliteitsbeeld 2014</t>
  </si>
  <si>
    <t>Kennisinstituut voor Mobiliteitsbeleid (KiM), Mini.van Infrastructuur en Milieu</t>
  </si>
  <si>
    <t>Actualisatie van keuzemodellen voor het NRM/LMS</t>
  </si>
  <si>
    <t>Willigers, Jasper, Michiel de Bok &amp; Marits Pieters</t>
  </si>
  <si>
    <t>Significance</t>
  </si>
  <si>
    <t>Brievenbusmaatschappijen. De impect van bijzondere financiële instellingen op de Nederlandse economie.</t>
  </si>
  <si>
    <t>Baarsma, Barbara, Marco Kerste &amp; Jarst Weda</t>
  </si>
  <si>
    <t>Business Contact</t>
  </si>
  <si>
    <t>Uit de schaduw van het bankwezen. Feiten en cijfers over bijzondere financiële instellingen en het schaduwbankwezen.</t>
  </si>
  <si>
    <t>Kerste, Marco, Barbara Baarsma, Jarst Weda, Nicole Rosenboom &amp; Ward Rougoor</t>
  </si>
  <si>
    <t>SEO</t>
  </si>
  <si>
    <t>De verandering in het aandeel jeugdige verdachten in Amsterdam 2005 tot en met 2011. Op zoek naar verklaringen</t>
  </si>
  <si>
    <t>Weijters G. &amp; A.M. van der Laan</t>
  </si>
  <si>
    <t>WODC, Cahier 2014-9</t>
  </si>
  <si>
    <t>Zicht op zorggebruik</t>
  </si>
  <si>
    <t xml:space="preserve">Een rijke buurman trekt je niet omhoog </t>
  </si>
  <si>
    <t>Miltenburg, Emily</t>
  </si>
  <si>
    <t>Artikel in NRC.NEXT</t>
  </si>
  <si>
    <t>(On)beperkt sportief 2013 : monitor sport- en beweegdeelname van mensen met een handicap</t>
  </si>
  <si>
    <t>Mulier Instituut/ Arko Sports Media</t>
  </si>
  <si>
    <t>VU_Tinbergen</t>
  </si>
  <si>
    <t>De sector Economie in beeld. Een analyse van opleidingen en arbeidsmarkt van de hbo-sector Economie. Nijmegen: ITS</t>
  </si>
  <si>
    <t>Lubberman, J., Vermeulen, H., Hovius, M., Rossen, L., Elfering, S., Sombekke, E. &amp; Rens, C. van</t>
  </si>
  <si>
    <t>Korte-en langetermijneffecten van de ISD-maatregel</t>
  </si>
  <si>
    <t>Tollenaar, N., van der Laan, A. M., &amp; Beijersbergen, K. A.</t>
  </si>
  <si>
    <t>Technisch rapport. Den Haag: WODC.</t>
  </si>
  <si>
    <t>Representativeness of the LifeLines Cohort Study</t>
  </si>
  <si>
    <t>Klijs, Bart, Salome Scholtens, Jornt J. Mandemakers, Harold Snieder, Ronald P. Stolk &amp; Nynke Smidt</t>
  </si>
  <si>
    <t>Plos One</t>
  </si>
  <si>
    <t>Jaarrapport integratie 2013. Participatie van migranten op de arbeidsmarkt</t>
  </si>
  <si>
    <t>Huijnk, W., Gijsberts, M. &amp; Dagevos, J.</t>
  </si>
  <si>
    <t>Omvang en prestaties van het MKB in de topsectoren</t>
  </si>
  <si>
    <t>Fris, P.</t>
  </si>
  <si>
    <t>Can selective migration explain why health is worse in regions with population decline? :A study on migration and self-rated health in the Netherlands</t>
  </si>
  <si>
    <t xml:space="preserve">Dijkstra, Aletta, Eva U.B. Kibele, Antonia Verweij, Fons van der Lucht &amp; Fanny Janssen </t>
  </si>
  <si>
    <t>EUPHA</t>
  </si>
  <si>
    <t>Beheersing van de Nederlandse taal onder recente migranten uit nieuwe EU-lidstaten en traditionele migratielanden</t>
  </si>
  <si>
    <t>Gijsberts, M. &amp; M. Lubbers</t>
  </si>
  <si>
    <t>Sociologie, 10, 27-48</t>
  </si>
  <si>
    <t>Een vergelijking van de arbeidsmarktpositie van Polen en Bulgaren voor en na migratie naar Nederland</t>
  </si>
  <si>
    <t>Lubbers, M. &amp; M. Gijsberts</t>
  </si>
  <si>
    <t>Mens en Maatschappij, 88: 426-446</t>
  </si>
  <si>
    <t>Langer in Nederland. Ontwikkelingen in de leefsituatie van Poolse en Bulgaarse migranten.</t>
  </si>
  <si>
    <t>Nieuw in Nederland. Het leven van recent gemigreerde Bulgaren en Polen.</t>
  </si>
  <si>
    <t>Gijsberts, M. &amp; L. Lubbers</t>
  </si>
  <si>
    <t>Decision-tree analysis of factors influencing rainfall-related building structure and content damage</t>
  </si>
  <si>
    <t>Spekkers, M. H., M. Kok, F. H. L. R. Clemens &amp; J. A. E. ten Veldhuis</t>
  </si>
  <si>
    <t>Nat. Hazards Earth Syst. Sci., 14, 2531-2547</t>
  </si>
  <si>
    <t>Startende ondernemers in Leiden</t>
  </si>
  <si>
    <t>Heuts, Lars, Heidi Witteman-van Leenen &amp; Jos Mevissen</t>
  </si>
  <si>
    <t>De staat van Nederland Innovatieland. R&amp;D: impuls voor economische groei.</t>
  </si>
  <si>
    <t>Marshanden, Walter, Marcel de Heide, Olaf Koops &amp; Tom van der Horst</t>
  </si>
  <si>
    <t>Return to the business R&amp;D expenditures in the Netherlands</t>
  </si>
  <si>
    <t>Poliakov, E.V. &amp; Bulavskaya, T.</t>
  </si>
  <si>
    <t>TNO Working paper sessies</t>
  </si>
  <si>
    <t>Do internationally adopted children in the Netherlands use more medication than their non-adopted peers?</t>
  </si>
  <si>
    <t>Tijdschrift European Journal of Pediatrics</t>
  </si>
  <si>
    <t>Prijzengids voor de bijzondere bijstand 2014-2015</t>
  </si>
  <si>
    <t>Nibud</t>
  </si>
  <si>
    <t>Financieringsmonitor 2014-1. Onderzoek naar de financiering van het Nederlandse bedrijfsleven</t>
  </si>
  <si>
    <t>Braaksma, Rob, Wim Verhoeven,  Lia Smit &amp; Tommy Span</t>
  </si>
  <si>
    <t>Analyse mogelijke verbeteringen van het verdeelmodel voor het inkomensdeel van de Participatiewet (memo voor het ministerie van SZW)</t>
  </si>
  <si>
    <t>Soede, A. &amp; M. Versantvoort</t>
  </si>
  <si>
    <t>Verdelen op niveaus. Een multiniveaumodel voor de verdeling van het inkomensdeel van de Participatiewet voor gemeenten</t>
  </si>
  <si>
    <t>Kostenverschillen in de jeugdzorg; Een verklaring van verschillen in kosten tussen gemeenten</t>
  </si>
  <si>
    <t>Are area-based initiatives able to improve area safety in deprived areas? A quasi-experimental evaluation of the Dutch District Approach</t>
  </si>
  <si>
    <t>Kramer, Daniëlle, Birthe Jongeneel-Grimen, Karien Stronks, Mariël Droomers &amp; Anton E. Kunst</t>
  </si>
  <si>
    <t>BMC Public Health 15:711</t>
  </si>
  <si>
    <t>Wijkaanpak maakt gezonder</t>
  </si>
  <si>
    <t>Stronks, Karien</t>
  </si>
  <si>
    <t>Tijdschrift voor Sociale Vraagstukken</t>
  </si>
  <si>
    <t>Hollands Kroon Uitkomsten Woningmarkt-onderzoek</t>
  </si>
  <si>
    <t>Wegstapel, Joost &amp; Janine Boers</t>
  </si>
  <si>
    <t>Microbleeds, mortality and stroke in Alzheimer's disease: the MISTRAL studie</t>
  </si>
  <si>
    <t>Benedictus, M.R., N.D. Prins, J.D.C. Goos, Ph. Scheltens, F. Barkhof, W.M. van der Flier</t>
  </si>
  <si>
    <t>JAMA Neurology</t>
  </si>
  <si>
    <t>Controlegroep Programma Groeiversnellers. Ontwikkelingen van omzet en werknemers 2011.</t>
  </si>
  <si>
    <t>Verhoeven, Wim &amp; Arjan Ruis</t>
  </si>
  <si>
    <t>Ernstige arbeidsongevallen 1999-2011. Trends en ontwikkelingen.</t>
  </si>
  <si>
    <t>Berkhout, P.H.G., M. Damen, C.B. Ameling &amp; V.M. Sol</t>
  </si>
  <si>
    <t>RIVM rapport 110010002/2014</t>
  </si>
  <si>
    <t>Monitor Inkomens Ondernemers. Editie 2012</t>
  </si>
  <si>
    <t>Vendrig, Sjaak</t>
  </si>
  <si>
    <t>Evaluatie Eurostars en Eureka 2008-2012, Panteia: Zoetermeer</t>
  </si>
  <si>
    <t>Prince, Y., N. Tiggeloove, P. Gibcus, T. Span, M. Linssen &amp; R. Braaksma</t>
  </si>
  <si>
    <t>Actieve ondernemingen en vestigingen</t>
  </si>
  <si>
    <t>Financiering MKB (incl. prognoses)</t>
  </si>
  <si>
    <t>Investeringen MKB</t>
  </si>
  <si>
    <t>Resultatenrekeningen MKB sectoren</t>
  </si>
  <si>
    <t>Zorgatlas</t>
  </si>
  <si>
    <t>Mulder, Maarten &amp; Frank den Hertog</t>
  </si>
  <si>
    <t>Assessing the effects of disability insurance experience rating. The case of The Netherlands</t>
  </si>
  <si>
    <t>Groot Nynke de &amp; Pierre Koning</t>
  </si>
  <si>
    <t xml:space="preserve">Rijsbroek Annemarie, Mariël Droomers, Wim Hardyns, Peter P.Groenewegen &amp; Karien Stronks </t>
  </si>
  <si>
    <t>Social safety,self-ratedgeneralhealthandphysicalactivity: Changes in area crime,areas afety feelings and the role of social cohesion</t>
  </si>
  <si>
    <t>Ruijsbroek Annemarie , Mariël Droomers, Peter P.Groenewegen, Wim Hardyns &amp; Karien Stronks</t>
  </si>
  <si>
    <t>Maatschappelijke effecten van het wetsvoorstel Hervorming Kindregelingen voor gezinnen met kinderen.</t>
  </si>
  <si>
    <t>Hoff, Stella &amp; Arjan Soede</t>
  </si>
  <si>
    <t>Testosterone and the Gender Wage Gap</t>
  </si>
  <si>
    <t>Gielen, Anne C., Jessica Holmes &amp; Caitlin Myers</t>
  </si>
  <si>
    <t>IZA Discussion Paper No. 7575</t>
  </si>
  <si>
    <t>Succesvol zelfstandig</t>
  </si>
  <si>
    <t>Ruis, Arjan &amp; Paul Vroonhof</t>
  </si>
  <si>
    <t>Koppeling van cao-codes aan de NEA: Beschrijving van de succesvolle koppeling en eerste resultaten</t>
  </si>
  <si>
    <t>Venema, Anita &amp; Ernest de Vroome</t>
  </si>
  <si>
    <t>Gemeenten en marktpartijen in regio alkmaar bewegen mee met veranderende woningmarkt</t>
  </si>
  <si>
    <t>Wegstapel, Joost</t>
  </si>
  <si>
    <t>Lokale Staat van het Onderwijs in Almere 2012/2013</t>
  </si>
  <si>
    <t>Onderzoek &amp; Statistiek, Gemeente Almere</t>
  </si>
  <si>
    <t>Monitor vrouwelijk en etnisch ondernemerschap 2013</t>
  </si>
  <si>
    <t>Span, Tommy, Sophie Doove &amp; Lia Smit</t>
  </si>
  <si>
    <t>Kennissite MKB en Ondernemerschap</t>
  </si>
  <si>
    <t>Volkerink, M., E. Berkhout, P. Bisschop &amp; J. van der Voort</t>
  </si>
  <si>
    <t>SEO-rapport nr. 2014-56</t>
  </si>
  <si>
    <t>Antilliaanse Nederlanders 2013: De positie op de terreinen van onderwijs, arbeid en uitkering en criminaliteit</t>
  </si>
  <si>
    <t>Boom, J. de, P. van Wensveen, P. Hermus, A. Weltevrede &amp; M. van San</t>
  </si>
  <si>
    <t>Nationaal programma Rotterdam Zuid.</t>
  </si>
  <si>
    <t>Krimpen, Marisol van, Astrid Kroos, Mattijs de Mooij, Karín Oostenbrink-Fraai, Marco Pastors &amp; Evronique Smits</t>
  </si>
  <si>
    <t>Programmabureau NPRZ</t>
  </si>
  <si>
    <t>Dat smaakt naar meer! Innovatie in het Nederlandse levensmiddelen-mkb</t>
  </si>
  <si>
    <t>Galen , Michiel van, Katja Logatcheva &amp; Elsje Oosterkamp</t>
  </si>
  <si>
    <t>WUR_LEI</t>
  </si>
  <si>
    <t>Monitor Voedselverspilling. Update 2009-2012.</t>
  </si>
  <si>
    <t>Soethoudt, Han &amp; Hilke Bos-Brouwers</t>
  </si>
  <si>
    <t>Wageningen UR Food &amp; Biobased Research</t>
  </si>
  <si>
    <t>Settlement patterns of international knowledge workers in The Netherlands.</t>
  </si>
  <si>
    <t>Sleutjes, Bart</t>
  </si>
  <si>
    <t>HELP-INTERNATIONAL REPORT NR. 4</t>
  </si>
  <si>
    <t>De-standardisation and differentiation of retirement trajectories in the context of extended working lives in the Netherlands</t>
  </si>
  <si>
    <t xml:space="preserve">Riekhoff, Aart-Jan </t>
  </si>
  <si>
    <t>Economic and Industrial Democracy</t>
  </si>
  <si>
    <t>Institutional and socio-economic drivers of work-to-retirement trajectories in the Netherlands</t>
  </si>
  <si>
    <t>Cambridge University Press</t>
  </si>
  <si>
    <t>Kansen voor allochtone BBL'ers. Een verkenning van problemen en barrières.</t>
  </si>
  <si>
    <t>Grensoverschrijdend aanbod van personeel. Verschuivingen in nationaliteit en contractvormen op de Nederlandse arbeidsmarkt 2001-2011.</t>
  </si>
  <si>
    <t>Berkhout, Ernest, Paul Bisschop &amp; Maikel Volkerink</t>
  </si>
  <si>
    <t>Baseline characteristics and mortality outcomes of NELSON control group participants and eligible non-responders</t>
  </si>
  <si>
    <t>Yousaf-Khan, Uraujh, Horeweg, Nanda, Van der Aalst, Carlijn, Ten Haaf, Kevin, Oudkerk, Mathijs &amp; De Koning, Harry</t>
  </si>
  <si>
    <t>The Journal of Thoracic Oncology</t>
  </si>
  <si>
    <t>Verdeling van het participatiebudget over gemeenten</t>
  </si>
  <si>
    <t>Tempelman, Caren, Gerard Marlet, Caroline Berden, Clemens van Woerkens &amp; Lucy Kok</t>
  </si>
  <si>
    <t>Een lang tekort. Langdurige armoede in Nederland</t>
  </si>
  <si>
    <t xml:space="preserve">Wildeboer Schut, Jean Marie &amp; Stella Hoff  </t>
  </si>
  <si>
    <t>Op eigen benen? Samenhang van jeugdzorg met het gebruik van WMO-zorg en nkomensondersteuning vanaf het achttiende levensjaar</t>
  </si>
  <si>
    <t>Non, Marielle</t>
  </si>
  <si>
    <t>Centraal Planbureau</t>
  </si>
  <si>
    <t>Vervolgrapportage decentralisaties in het sociaal domein</t>
  </si>
  <si>
    <t>Slachtofferhulp Nederland</t>
  </si>
  <si>
    <t>The effect of adherence to statin therapy on cardiovascular mortality: quantification of unmeasured bias using falsification end-points</t>
  </si>
  <si>
    <t>Bijlsma J. Maarten, Stijn Vansteelandt, Fanny Janssen &amp; Eelko Hak</t>
  </si>
  <si>
    <t>BMC Public Health</t>
  </si>
  <si>
    <t>Bijlsma Maarten J., Fanny Janssen, Jens Bos, Pieter W. Kamphuisen, Stijn Vansteelandt &amp; Eelko Hak</t>
  </si>
  <si>
    <t>Effect of vaccination programmes on mortality burden among children and young adults in the Netherlands during the 20th century: a historical analysis</t>
  </si>
  <si>
    <t>Wijhe, Maarten van, Scott A McDonald, Hester E de Melker, Maarten J Postma &amp; Jacco Wallinga</t>
  </si>
  <si>
    <t>Eff ect of vaccination programmes on mortality burden among children and young adults in the Netherlands during the 20th century: a historical analysis</t>
  </si>
  <si>
    <t>The Lancet Infectious Diseases (website)</t>
  </si>
  <si>
    <t>Personeel en opleiden in verpleeghuizen</t>
  </si>
  <si>
    <t>Brink, Marjolein &amp; Cisca Joldersma</t>
  </si>
  <si>
    <t>KIWA</t>
  </si>
  <si>
    <t>Hulle, René van</t>
  </si>
  <si>
    <t>Buurtintegratie</t>
  </si>
  <si>
    <t>De onderkant van de arbeidsmarkt in 2025</t>
  </si>
  <si>
    <t>De financiële positie van het midden- en kleinbedrijf in Nederland</t>
  </si>
  <si>
    <t>CPB op verzoek van het ministerie van Economische Zaken</t>
  </si>
  <si>
    <t>Comparison of Site of Death, Health Care Utilization, and Hospital Expenditures for Patients Dying With Cancer n 7 Developed Countries</t>
  </si>
  <si>
    <t>Oosterveld, Mariska</t>
  </si>
  <si>
    <t>Internationaal onderzoek: zorg in de laatste levensfase in hier beter en goedkoper dan elders. Kankerpatiënt in Nederland goed arf</t>
  </si>
  <si>
    <t>Volkskrant 20 januari</t>
  </si>
  <si>
    <t>Relating cause of death with place of care and healthcare costs in the last year of life for patients who died from cancer, chronic obstructive pulmonary disease, heart failure and dementia: A descriptive study using registry data</t>
  </si>
  <si>
    <t>Plas van der Annicka GM, Mariska G Oosterveld-Vlug, H Roeline W Pasman &amp; Bregje D Onwuteaka-Philipsen</t>
  </si>
  <si>
    <t>SAGEPUB</t>
  </si>
  <si>
    <t>Trends en ontwikkelingen in de technische installatiebranche 2016</t>
  </si>
  <si>
    <t>Vermeulen, Hedwig, John Warmerdam, Sanne Elfering, Roelof Schellingerhout, Wouter de Wit, Ellen van de Wetering, Lieselotte Rossen &amp; Carolien van Rens</t>
  </si>
  <si>
    <t>Evaluatie wet inburgering buitenland</t>
  </si>
  <si>
    <t>Odé, A., M.C. Paulussen-Hoogeboom, J. Stouten &amp; M. Witvliet</t>
  </si>
  <si>
    <t>Regioplan. Publicatienummer 13261</t>
  </si>
  <si>
    <t>VluchtelingenWerk IntegratieBarometer 2014. Een onderzoek naar de integratie van vluchtelingen in Nederland.</t>
  </si>
  <si>
    <t>Witkamp, Bertine, Marja Paulussen-Hoogeboom, Suzanne Slotboom &amp; Janneke Stouten</t>
  </si>
  <si>
    <t>VluchtelingenWerk Nederland</t>
  </si>
  <si>
    <t>Buitenspel. De uitvoering voor jongeren in de WW of bijstand</t>
  </si>
  <si>
    <t>InspectieSZW</t>
  </si>
  <si>
    <t>De WWB voor jongeren in cijfers. H3-5</t>
  </si>
  <si>
    <t>Gemeentelijke uitvoering van de zoekperiode voor jongeren in de WWB</t>
  </si>
  <si>
    <t>Zuurbier, Hubert, Sandhya Bodol, Huub Eijkelkamp, Justine Ruitenherg &amp; Ron von Duuren</t>
  </si>
  <si>
    <t>Sociaal bestek april/mei</t>
  </si>
  <si>
    <t>De uitvoering voor jongeren in de WW of bijstand</t>
  </si>
  <si>
    <t>Buitenspel</t>
  </si>
  <si>
    <t>Uitvoering van de Wwb voor jongeren (18-27 jaar)</t>
  </si>
  <si>
    <t xml:space="preserve">Uitvoering van de WW en WWB voor jongeren </t>
  </si>
  <si>
    <t>De WWB voor jongeren in cijfers</t>
  </si>
  <si>
    <t>Zuurbier, Hubert</t>
  </si>
  <si>
    <t>Rapportage sport 2014</t>
  </si>
  <si>
    <t>Tiessen-Raaphorst, Annet</t>
  </si>
  <si>
    <t>Het zorggebruik van minima in Amsterdam</t>
  </si>
  <si>
    <t>Dijkshoorn, Henriëtte, Franciscus G.M. Hazeleger, Idske M. de Jong, Arnold P.M. van der Lee &amp; Anton E. Kunst</t>
  </si>
  <si>
    <t>Nederlands Tijdschrift voor Geneeskunde</t>
  </si>
  <si>
    <t>Motivated or not for searching a job? The determinants of competitiveness:thematic collection of papers of international significance.</t>
  </si>
  <si>
    <t>Juznik, Laura</t>
  </si>
  <si>
    <t>University of Nis, Faculty of Economics, str. 93-106, graf. prikazi, tabele</t>
  </si>
  <si>
    <t>Landelijke inventarisatie rookoverlast. Ervaren maatregelen op de werkvloer.</t>
  </si>
  <si>
    <t>Fettelaar, Daan &amp; Lieselotte Rossen</t>
  </si>
  <si>
    <t>Een normatieve kijk op de rol van daderkenmerken bij straftoemetingsbeslissingen</t>
  </si>
  <si>
    <t>Wingerden, S.G.C. van &amp; Wermink, H.T</t>
  </si>
  <si>
    <t>Trema: Tijdschrift voor de Rechterlijke Macht, 38(1), 6-16</t>
  </si>
  <si>
    <t>Etnisch Gerelateerde Verschillen in de Straftoemeting</t>
  </si>
  <si>
    <t>Wermink, H., Wingerden, S.G.C. van, Wilsem, J.A. van &amp; Nieuwbeerta, P</t>
  </si>
  <si>
    <t>Den Haag: Raad voor de Rechtspraak</t>
  </si>
  <si>
    <t>Worden allochtonen zwaarder gestraft? Onderzoek naar etnische verschillen in gevangenisstrafbeslissingen in Nederland</t>
  </si>
  <si>
    <t>Panopticon.</t>
  </si>
  <si>
    <t>Zwaarder gestraft?</t>
  </si>
  <si>
    <t>Wingerden, dr. mr. S.G.C. ( Sigrid) van &amp; dr. H.T. ( Hilde) Wermink</t>
  </si>
  <si>
    <t>Sdu Uitgevers bv, Den Haag</t>
  </si>
  <si>
    <t>Descendants of Hardship: Prevalence, Drivers and Scarring Effects of Social Exclusion in Childhood</t>
  </si>
  <si>
    <t>Vrooman J. (Cok), Stella J.M. Hoff &amp; Maurice Guiaux</t>
  </si>
  <si>
    <t>Schols, Marjon</t>
  </si>
  <si>
    <t>Arbeidsomstandigheden van gedetacheerde medewerkers vanuit de Sociale Werkvoorziening</t>
  </si>
  <si>
    <t>Voogt, Robert</t>
  </si>
  <si>
    <t>Inspectie SZW</t>
  </si>
  <si>
    <t>Arbeidsmobiliteit tussen grootteklassen</t>
  </si>
  <si>
    <t>Kok, Jan de &amp; Pieter Fris</t>
  </si>
  <si>
    <t>Terugval in recidive. Exploratie van de daling in de recidivecijfers van jeugdigen en ex-gedetineerden bestraft in de periode 2002-2010. WODC. Cahier 2014-16.</t>
  </si>
  <si>
    <t>WODC, Den Haag</t>
  </si>
  <si>
    <t>Bedrijfsoverdrachten: een overschat probleem? Omvang en effecten van bedrijfsoverdrachten, -overnames en -beëindigingen</t>
  </si>
  <si>
    <t>Ruis, A., L. Smit, T. Span, R. Braaksma &amp; Y. Prince</t>
  </si>
  <si>
    <t>Onderzoek naar effectiviteit inzet re-integratieinstrumenten DWI</t>
  </si>
  <si>
    <t>Bolhaar, Jonneke, Nadine Ketel &amp; Bas van der Klaauw</t>
  </si>
  <si>
    <t>Gemeente Amsterdan en VU</t>
  </si>
  <si>
    <t>Monitor Inkomens Ondernemers</t>
  </si>
  <si>
    <t>Vendrig, J.P. &amp; J. Snoei</t>
  </si>
  <si>
    <t>Kans op werk</t>
  </si>
  <si>
    <t>Stichting Samenwerking Beroepsonderwijs Bedrijfsleven</t>
  </si>
  <si>
    <t>Perspectief op werk. Onderzoek naar het arbeidsperspectief in relatie tot de uittstroombestemming van leerlingen uit het praktijkonderwijs</t>
  </si>
  <si>
    <t>Woude, Selle L., van der</t>
  </si>
  <si>
    <t>Selle van der Woude</t>
  </si>
  <si>
    <t>Verschil in Nederland</t>
  </si>
  <si>
    <t xml:space="preserve">Vrooman Cok, Mérove Gijsberts &amp; Jeroen Boelhouwer </t>
  </si>
  <si>
    <t>De hoofdzaken van het Sociaal en Cultureel Rapport 2014</t>
  </si>
  <si>
    <t>Vrooman Cok, Mérove Gijsberts &amp; Jeroen Boelhouwer</t>
  </si>
  <si>
    <t>Koopkrachtontwikkeling postactieven</t>
  </si>
  <si>
    <t>Vermeulen, Hedwig, Lilian Woudstra, Ferdi van Wersch &amp; Marloes Lammers</t>
  </si>
  <si>
    <t xml:space="preserve">Schijn bedriegt: een onderzoek naar de prevalentie en verschijningsvormen van schijnrelaties. </t>
  </si>
  <si>
    <t xml:space="preserve">Kulu-Glasgow, I., Liu, W.Y.J., Jennissen, R.P.W., Smit, M., Beenakkers, E.M.T., Haerden, M, Niehof, J. &amp; Stelk, A.M. </t>
  </si>
  <si>
    <t>Schijnhuwelijken en schijnrelaties.</t>
  </si>
  <si>
    <t xml:space="preserve">Jennissen, R.P.W., Kulu-Glasgow, I., Liu, W.Y.J., Niehof, T.&amp; Smit, M. </t>
  </si>
  <si>
    <t>For love or for papers? Sham marriages among Turkish (potential) migrants and gender implications</t>
  </si>
  <si>
    <t xml:space="preserve">Kulu-Glasgow, I., Smit M. &amp;  Jennissen, R.P.W. </t>
  </si>
  <si>
    <t>Berkhout, E. &amp; M. Volkerink</t>
  </si>
  <si>
    <t>SEO-Discussion paper nr. 81</t>
  </si>
  <si>
    <t>Waardering van baankenmerken. Vrouw-man verschillen in niet-geldelijke baankenmerken en salaris.</t>
  </si>
  <si>
    <t>Berkhout, Ernest</t>
  </si>
  <si>
    <t>Inzoomen op betaalbaarheid: Woonlasten in de regio Rotterdam</t>
  </si>
  <si>
    <t>Kromhout, Steven, Wilma Bakker &amp; René Schulenberg</t>
  </si>
  <si>
    <t>SVB realiseert lager niet-gebruik. Niet-gebruik in de AIO in 2011 vergeleken met 2005</t>
  </si>
  <si>
    <t>Olieman, R.</t>
  </si>
  <si>
    <t>SVB</t>
  </si>
  <si>
    <t>Afwegingskader voor woningbouwontwikkeling - Bijlage woningmarktanalyse</t>
  </si>
  <si>
    <t xml:space="preserve">Tiggeloven, Pim &amp; Bram Klouwen </t>
  </si>
  <si>
    <t>Companen</t>
  </si>
  <si>
    <t>Fostering equal treatment of Third Country Nationals in the Netherlands; Improving the practises of skill and diploma recognition of migrants and diversity management practises within organisations</t>
  </si>
  <si>
    <t>Grootjans, N., Paardekooper, L., Beckers, P.J., Pijpers, R., Van Naerssen, T. &amp; Smith, L.</t>
  </si>
  <si>
    <t>RUN</t>
  </si>
  <si>
    <t>Skills recognition, diversity management and voluntary work with regard to Third Country Nationals in the Netherlands: A case study on the healthcare sector in the Arnhem-Nijmegen region.</t>
  </si>
  <si>
    <t>Pijpers, R., Beckers, P.J., Grootjans, N., Naerssen, T. van, Paardekooper, L. &amp; Smith, L.</t>
  </si>
  <si>
    <t>Verschillenanalyse met betrekking tot de Jeugdwet voor de jeugdzorgregio Zuidoost-Utrecht en de gemeente Zeist</t>
  </si>
  <si>
    <t>Sadiraj, Klarita &amp; Evert Pommer</t>
  </si>
  <si>
    <t>Basismonitor Onderwijs Nationaal Programma Rotterdam Zuid 2015</t>
  </si>
  <si>
    <t>Risbo, Erasmus Universiteit, gemeente Rotterdam</t>
  </si>
  <si>
    <t>Basismonitor Onderwijs Nationaal Programma Rotterdam Zuid 2016</t>
  </si>
  <si>
    <t>J. de Boom A. L. Roode P. van Wensveen P. A. de Graaf</t>
  </si>
  <si>
    <t>Risbo, Erasmus Universiteit OBI, gemeente Rotterdam</t>
  </si>
  <si>
    <t>Basismonitor Onderwijs Nationaal Programma Rotterdam Zuid: Verklarende analyse</t>
  </si>
  <si>
    <t>Boom J. de,  A.L. Roode, P. van Wensveen, P.A. de Graaf, Risbo, Erasmus Universiteit &amp;OBI, gemeente Rotterdam</t>
  </si>
  <si>
    <t>Risbo, Erasmus Universiteit</t>
  </si>
  <si>
    <t>De veranderende geografie van Nederland</t>
  </si>
  <si>
    <t>Tordoir, Prof. dr. P., Drs. A. Poorthuis &amp; Dr. P. Renooy</t>
  </si>
  <si>
    <t>ministerie van Binnenlandse Zaken en Koninkrijksrelaties.</t>
  </si>
  <si>
    <t>Verdeling detacheringen en uitzendingen over inlenende werkgevers. Nulmeting banenafspraak in verband met de Wet banenafspraak en quotum arbeidsbeperkten.</t>
  </si>
  <si>
    <t>Berden, C. &amp; L. Kok</t>
  </si>
  <si>
    <t>SEO Economisch Onderzoek: Amsterdam</t>
  </si>
  <si>
    <t>Verdeling detacheringen en uitzendingen over inlenende werkgevers, tweemeting</t>
  </si>
  <si>
    <t>Scholte, R., L. Kroon, L. Kok &amp; J. Witteman</t>
  </si>
  <si>
    <t>Werk en werken in de Rijnmond. Een analyse van vraag, aanbod en match op de arbeidsmarkt regio Rijnmond.</t>
  </si>
  <si>
    <t>Aa, Paul van der, Ludo van Dun, Paul de Graaf, Frans Moors, Annemarie Reijnen, Annemarie Roode, Marcel van Toorn, Paul de Hek &amp; Jaap de Koning</t>
  </si>
  <si>
    <t>O&amp;BI/SEOR</t>
  </si>
  <si>
    <t>Sterke Schouders in Rotterdam. Editie 2016</t>
  </si>
  <si>
    <t>Graaf, P.A. de</t>
  </si>
  <si>
    <t>Onderzoek en Business Intelligence (OBI), Gemeente Rotterdam</t>
  </si>
  <si>
    <t>Roode, Annemarie Roode &amp; Paul de Graaf</t>
  </si>
  <si>
    <t>In opdracht van cluster Maatschappelijke ontwikkeling, themanetwerk</t>
  </si>
  <si>
    <t>An explorative study of school performance and antipsychotic medication</t>
  </si>
  <si>
    <t>Schans J. van der, S. Vardar, R. Çiçek, H. J. Bos, P. J. Hoekstra, T. W. de Vries &amp; E. Hak</t>
  </si>
  <si>
    <t>BMC Psychiatry</t>
  </si>
  <si>
    <t>Verjaardagseffect blijkt klein</t>
  </si>
  <si>
    <t>Kabátek, Jan</t>
  </si>
  <si>
    <t>Not Your Lucky Day: Romantically and Numerically Special Wedding Date Divorce Risks</t>
  </si>
  <si>
    <t>Kabátek, Jan &amp;  David C. Ribar</t>
  </si>
  <si>
    <t>Melbourne Institute of Applied Economic and Social Research</t>
  </si>
  <si>
    <t>Trouwen op Valentijnsdag is vragen om ellende</t>
  </si>
  <si>
    <t xml:space="preserve">Ribar, David </t>
  </si>
  <si>
    <t>de Gelderlander</t>
  </si>
  <si>
    <t>Technisch rapport bij het COOL5-18 bestandenproject voor het voortgezet onderwijs (tweede versie)</t>
  </si>
  <si>
    <t>Timmermans, Anneke &amp; Djurre Zijsling</t>
  </si>
  <si>
    <t>RuG GION</t>
  </si>
  <si>
    <t>Kostenverschillen in de jeugdzorg</t>
  </si>
  <si>
    <t>Overall rapportage sociaal domein 2015_WEB</t>
  </si>
  <si>
    <t xml:space="preserve">Pommer, Evert &amp; Jeroen Boelhouwer </t>
  </si>
  <si>
    <t>Leefbaarometer 2.0 (diverse deelpublicaties)</t>
  </si>
  <si>
    <t>Rigo en Atlas voor Gemeenten</t>
  </si>
  <si>
    <t>WOR 736 Buitenlandse seizoenarbeiders</t>
  </si>
  <si>
    <t>Tempelman, Caren &amp; Marloes Lammers</t>
  </si>
  <si>
    <t xml:space="preserve">Dettmeijer, Corinne </t>
  </si>
  <si>
    <t>Nationaal Rapporteur Mensenhandel en Seksueel Geweld tegen Kinderen</t>
  </si>
  <si>
    <t xml:space="preserve">Dettmeijer Corinne </t>
  </si>
  <si>
    <t>Development and validation of a risk model for long-term mortality after percutaneous coronary intervention: The IDEA-BIO Study.</t>
  </si>
  <si>
    <t>Boven N van, van Domburg R.T, Kardys I, Umans V.A, Akkerhuis KM, Lenzen M.J, Valgimigli M, Daemen J, Zijlstra F, Boersma E. &amp; van Geuns R.J.</t>
  </si>
  <si>
    <t>NCBI PubMed</t>
  </si>
  <si>
    <t>Conformability in everolimus-eluting bioresorbable scaffolds compared with metal platform coronary stents in long lesions</t>
  </si>
  <si>
    <t>Impact of Relative Conditional Survival Estimates on Patient Prognosis After Percutaneous Coronary Intervention.</t>
  </si>
  <si>
    <t>Baart S.J., van Domburg R.T., Janssen-Heijnen M.L.G., Deckers J.W., Akkerhuis K.M., Daemen J., van Geuns R.J., Boersma E., &amp; Kardys I.</t>
  </si>
  <si>
    <t>Occurrence and predictors of acute stent recoil-A comparison between the xience prime cobalt chromium stent and the promus premier platinum chromium stent.</t>
  </si>
  <si>
    <t>van Bommel R.J., Lemmert M.E., van Mieghem N.M., van Geuns R.J., van Domburg R.T. &amp; Daemen J.</t>
  </si>
  <si>
    <t>Effect of catheter-based renal denervation on left ventricular function, mass and (un)twist with two-dimensional speckle tracking echocardiography.</t>
  </si>
  <si>
    <t>Feyz L., van Dalen B.M., Geleijnse M.L., Van Mieghem N.M., van Domburg R.T. &amp; Daemen J.</t>
  </si>
  <si>
    <t>The Promus Premier everolimus-eluting platinum chromium stent with durable polymer evaluated in a real world all-comer population in Rotterdam cardiology hospital (the P-SEARCH registry).</t>
  </si>
  <si>
    <t>Woningbehoefteonderzoek 2015</t>
  </si>
  <si>
    <t>Klouwen Bram, Jeroen Lijzenga &amp; Roy Nieuwenhuis</t>
  </si>
  <si>
    <t>Onverklaard slachtofferschap van woninginbraken</t>
  </si>
  <si>
    <t xml:space="preserve">Roorda, Willemijn, Wendy Buysse, &amp; Paul van Soomeren </t>
  </si>
  <si>
    <t>DSP-groep</t>
  </si>
  <si>
    <t>Brandstof voor innovatief vermogen. Financiering innovatief MKB in RIS-3 sectoren in Zuid Holland</t>
  </si>
  <si>
    <t>Dijk, Rob van, Damo Holt, Floris van der Veen, Petra Gibcus, Lia Smit &amp; Tommy Span</t>
  </si>
  <si>
    <t>Ontwikkeling energiekentallen utiliteitsgebouwen</t>
  </si>
  <si>
    <t xml:space="preserve">Sipma, J.M &amp;  Rietkerk, M.D.A. </t>
  </si>
  <si>
    <t xml:space="preserve">ECN Beleidsstudies </t>
  </si>
  <si>
    <t>Duurzaamheid schuldentrajecten, De financiële positie van ex-schuldenaren</t>
  </si>
  <si>
    <t>Kok, L., C. Berden, M. Lammers, R. Scholte &amp; M. Von Bergh</t>
  </si>
  <si>
    <t>ministerie van SZW</t>
  </si>
  <si>
    <t>De vraag naar logopedie</t>
  </si>
  <si>
    <t>Scholte, Robert &amp; Lucy Kok</t>
  </si>
  <si>
    <t>Notitie bevindingen m.b.t. verdeelmodel WWB</t>
  </si>
  <si>
    <t>Everhardt Tom &amp; Leo Aarts</t>
  </si>
  <si>
    <t>Vierde meting van de monitor nazorg ex-gedetineerden</t>
  </si>
  <si>
    <t>Beerthuizen M.G.C.J., K.A. Beijersbergen, S. Noordhuizen &amp; G. Weijters</t>
  </si>
  <si>
    <t>Wetenschappelijk Onderzoek- en Documentatiecentrum</t>
  </si>
  <si>
    <t>Evaluatie innovatiebox 2010-2012</t>
  </si>
  <si>
    <t>Evaluating the innovation box tax policy instrument in the Netherlands</t>
  </si>
  <si>
    <t>Mohnen, P,  Arthur Vankan &amp; Bart Verspagen</t>
  </si>
  <si>
    <t>Oxford Review of Economic Policy</t>
  </si>
  <si>
    <t>Ouderenmishandeling in Nederland: Inzicht in kennis over omvang en achtergrond van ouderen die slachtoffer zijn van ouderenmishandeling</t>
  </si>
  <si>
    <t xml:space="preserve">Plaisier, Inger &amp; Mirjam de Klerk </t>
  </si>
  <si>
    <t>Ontwikkeling Woonzorgwijzer Fase 1: Voorlopig ontwerp</t>
  </si>
  <si>
    <t>Rossum, Froukje van, Kees Leidelmeijer &amp; Wilma Bakker</t>
  </si>
  <si>
    <t>Ministerie van BZK, DG Wonen en Bouwen</t>
  </si>
  <si>
    <t>Predicting working beyond retirement in the Netherlands: an interdisciplinary approach involving occupation epidemiology and economics</t>
  </si>
  <si>
    <t>Scharn M, van der Beek AJ, Huisman MA, de Wind A, Lindeboom M, Elbers C.T.M, Geuskens G.A &amp; Boot C.R.L.</t>
  </si>
  <si>
    <t>VU University Medical Center, Department of Public and</t>
  </si>
  <si>
    <t>Dekker Vincent, Kristina Strohmaier &amp; Nicole Bosch</t>
  </si>
  <si>
    <t>University of Hohenheim</t>
  </si>
  <si>
    <t>Gevolgen belastinghervorming voor de detailhandel</t>
  </si>
  <si>
    <t>Bangma Klaas, Pieter Fris &amp; Wim Verhoeven</t>
  </si>
  <si>
    <t>Migratiestromen in Noordoost Groningen</t>
  </si>
  <si>
    <t>Bouwmeester, Harry &amp; Cor Lamain</t>
  </si>
  <si>
    <t>TU Delft</t>
  </si>
  <si>
    <t>De sociale staat van Nederland 2015</t>
  </si>
  <si>
    <t>Bijl Rob, Jeroen Boelhouwer, Evert Pommer &amp; Iris Andriessen</t>
  </si>
  <si>
    <t>Over de relatie tussen laaggeletterdheid en armoede</t>
  </si>
  <si>
    <t>Christoffels Ingrid, Pieter Baay (ecbo) Ineke Bijlsma &amp; Mark Levels (ROA)</t>
  </si>
  <si>
    <t>ECBO</t>
  </si>
  <si>
    <t>Woningmarktanalyse 2015</t>
  </si>
  <si>
    <t>Wissink, Jeroen, Bert van 't Land &amp; Diana Boertien</t>
  </si>
  <si>
    <t>Ontwikkeling van ruimtelijke verschillen in Nederland</t>
  </si>
  <si>
    <t xml:space="preserve">Leidelmeijer, Kees, René Schulenberg &amp; Betty Noordhuizen </t>
  </si>
  <si>
    <t>In Fact</t>
  </si>
  <si>
    <t xml:space="preserve">Mulder, Maarten </t>
  </si>
  <si>
    <t>Dispensing of psychotropic medication among 400,000 immigrants in The Netherlands</t>
  </si>
  <si>
    <t>Soc Psychiatry Psychiatr Epidemiol</t>
  </si>
  <si>
    <t>Kern- en performance indicatoren</t>
  </si>
  <si>
    <t>Span, Tommy, Rutger Kok &amp;  Pieter Fris</t>
  </si>
  <si>
    <t>Inkomenseffecten brutering van de bijstand</t>
  </si>
  <si>
    <t>Ellwanger, Nils, Maaike van Asselt &amp; Leo Aarts</t>
  </si>
  <si>
    <t>Jeugdzorg: verschil tussen budget en contract in de regio Zuidoost Noord-Brabant</t>
  </si>
  <si>
    <t>Sadiraj, Klarita</t>
  </si>
  <si>
    <t>Sterfte aan chronische hepatitis B en C in Nederland</t>
  </si>
  <si>
    <t>Hofman, Robine, Wilma J. Nusselder, Irene K. Veldhuijzen &amp; Jan Hendrik Richardus</t>
  </si>
  <si>
    <t>Nederlands Tijdschriften voor Geneeskunde</t>
  </si>
  <si>
    <t>Nederlands Tijdschrift Geneeskunde</t>
  </si>
  <si>
    <t>Ex-ante kapitaalmarktanalyse Noordvleugel</t>
  </si>
  <si>
    <t xml:space="preserve">Dijk, R. van, D. Holt, F. van der Veen, P. Gibcus &amp; T. Span, </t>
  </si>
  <si>
    <t>Rebel &amp; Panteia</t>
  </si>
  <si>
    <t>Bedrijfsfinanciering tijdens en na de crisis</t>
  </si>
  <si>
    <t>Span, Tommy, Rutger Kok &amp; Wim Verhoeven</t>
  </si>
  <si>
    <t>Werkloos toezien?</t>
  </si>
  <si>
    <t xml:space="preserve">Merens, Ans &amp; Edith Josten  </t>
  </si>
  <si>
    <t>Evaluatie microfinanciering</t>
  </si>
  <si>
    <t>Kerste, Marco, Jarst Weda, Ward Rougoor, Nicole Rosenboom &amp; Cindy Biesenbeek</t>
  </si>
  <si>
    <t>SEO economisch onderzoek</t>
  </si>
  <si>
    <t>Circular Atlas. A quantitative model to provide insight on the material in- and out-streams from Dutch industries as part of the Circular Atlas.</t>
  </si>
  <si>
    <t>Rombouts, Anneke</t>
  </si>
  <si>
    <t>Wijziging Gebruikelijkloonregeling</t>
  </si>
  <si>
    <t>Rosenboom, N. &amp; . Smits</t>
  </si>
  <si>
    <t>Reumatische aandoeningen in Nederland</t>
  </si>
  <si>
    <t>Sloot Rosa, Linda Flinterman, Marianne Heins, Maaike Lafeber, Hennie Boeije, René Poos, Petra Eysink, Mark Nielen &amp; Joke Korevaar</t>
  </si>
  <si>
    <t>Voorzieningen verdeeld. Profijt van de overheid</t>
  </si>
  <si>
    <t>Olsthoorn, Martin, Evert Pommer, Michiel Ras, Ab van der Torre &amp; Jean Marie Wildeboer Schut</t>
  </si>
  <si>
    <t>De regionale mobiliteit en binding van medisch specialisten: Het belang van opleiden en onderwijs voor de regionale gezondheidszorg.</t>
  </si>
  <si>
    <t>Venhorst, V., Daams, M. &amp; van Dijk, J.</t>
  </si>
  <si>
    <t>RUG</t>
  </si>
  <si>
    <t>Vergrijzing en extramuralisering op de woningmarkt. Senioren en groepen met beperkingen.</t>
  </si>
  <si>
    <t>Iersel Johan van &amp; Kees Leidelmeijer</t>
  </si>
  <si>
    <t>De Staat van het Onderwijs</t>
  </si>
  <si>
    <t>Inspectie van het Onderwijs</t>
  </si>
  <si>
    <t>De Staat van het Onderwijs 2016</t>
  </si>
  <si>
    <t>Economische kansen Nederlandse cybersecurity-sector</t>
  </si>
  <si>
    <t>Hendriks, A., D. Brandt, K. Turk (VKA),  V. Kocsis, D. in 't Veld &amp; T. Smits</t>
  </si>
  <si>
    <t>VKA</t>
  </si>
  <si>
    <t>Monitor Jongeren Op Gezond Gewicht 2015</t>
  </si>
  <si>
    <t xml:space="preserve">Reijgersberg Niels, Ine Pulles, Koen Breedveld &amp; Ellen de Hollander </t>
  </si>
  <si>
    <t>Mulier Instituut</t>
  </si>
  <si>
    <t>Landelijke monitor studentenhuisvesting</t>
  </si>
  <si>
    <t>Hulle René van, Lies Hooft, Bert Marchal, Jamie Zwaneveld &amp; Maarten Vijncke</t>
  </si>
  <si>
    <t>Mortality, readmission and length of stay have different relationships using hospital-level versus patientlevel data: an example of the ecological fallacy affecting hospital performance indicators</t>
  </si>
  <si>
    <t>Hofstede Stefanie, Leti van Bodegom-Vos, Dionne S Kringos, Ewout Steyerberg &amp; Perla J. Marang-van de Mheen</t>
  </si>
  <si>
    <t>BMJ</t>
  </si>
  <si>
    <t>Kruis, MSc. G., &amp; drs. R.C. van Waveren</t>
  </si>
  <si>
    <t>De arbeidsmarkt aan de grens met en zonder grensbelemmeringen</t>
  </si>
  <si>
    <t>Verstraten, Paul</t>
  </si>
  <si>
    <t>Understanding employment decentralization by estimating the spatial scope of gglomeration economies</t>
  </si>
  <si>
    <t>Verstraten, Paul, Gerard Verweij &amp; Peter Zwaneveld</t>
  </si>
  <si>
    <t>Estimating the prevalence of 26 health.related indicators at neighbourhood level in the Netherlands using structured additive regression</t>
  </si>
  <si>
    <t>Kassteele, Jan van de, Laurens Zwakhals, Oscar Breugelmans, Caroline Ameling &amp; Carolien van den Brink</t>
  </si>
  <si>
    <t>International Journal of Health Geographics</t>
  </si>
  <si>
    <t>Selecting Indicators to Measure Energy Poverty</t>
  </si>
  <si>
    <t>Rademaekers Koen, Jessica Yearwood, Alipio Ferreira (Trinomics), Steve Pye, Ian Hamilton, Paolo Agnolucci, David Grover (UCL), Jiøí Karásek &amp; Nataliya Anisimova (SEVEn)</t>
  </si>
  <si>
    <t>Trinomics B.V.</t>
  </si>
  <si>
    <t>Uitzendmonitor 2016</t>
  </si>
  <si>
    <t>Vermeulen, Hedwig, Wouter de Wit, Bianca van Leest &amp; Lieselotte Rossen</t>
  </si>
  <si>
    <t>KBA</t>
  </si>
  <si>
    <t>Kosten en baten van maatschappelijke (re-) integratie van volwassen en jeugdige (ex) geditineerden</t>
  </si>
  <si>
    <t>Koning, Jaap de, José Gravesteijn, Paul de Hek &amp; Daisy de Vries</t>
  </si>
  <si>
    <t>Ernstig verkeersgewonden 2015: Schatting van het aantal ernstig verkeersgewonden in 2015</t>
  </si>
  <si>
    <t>Bos, Drs. N.M., dr. S. Houwing &amp; dr. H.L. Stipdonk</t>
  </si>
  <si>
    <t>SWOV</t>
  </si>
  <si>
    <t>Kruize, P. &amp; Gruter, P.</t>
  </si>
  <si>
    <t>Ateno</t>
  </si>
  <si>
    <t>Optimalisering van werk loont</t>
  </si>
  <si>
    <t>Koning Jaap de, Paul de Hek &amp; Elisa de Vleeschouwer</t>
  </si>
  <si>
    <t>Faculteit der Sociale Wetenschappen</t>
  </si>
  <si>
    <t>Breast conserving therapy and mastectomy revisited: Breast cancer-specific survival and the influence of prognostic factors in 129,692 patients</t>
  </si>
  <si>
    <t>Lagendijk Mirelle, Marissa C. van Maaren, Sepideh Saadatmand, Luc J.A. Strobbe, Philip M.P. Poortmans, Linetta B. Koppert, Madeleine M.A. Tilanus-Linthorst &amp;Sabine Siesling</t>
  </si>
  <si>
    <t>International Journal of Cancer</t>
  </si>
  <si>
    <t>Evaluatie MKB Innovatiestimuleringsregeling Topsectoren (MIT), 2013 - 2016</t>
  </si>
  <si>
    <t xml:space="preserve">Zuijdam, F., M. Ploeg, J. Schipper, J. Vermeer, S. van der Werff &amp; J. Zwetsloot </t>
  </si>
  <si>
    <t>Technopolis Group &amp; SEO Economisch Onderzoek</t>
  </si>
  <si>
    <t>Onderzoek overheadkosten bij ziekenhuizen</t>
  </si>
  <si>
    <t>Fris, Pieter, Rutger Kok &amp; Jos Jooren</t>
  </si>
  <si>
    <t>Sportdeelname en accommodatiegebruik in Limburg : onderzoek naar de huidige en toekomstige sportdeelname en accommodatiegebruik in de provincie Limburg (2016)</t>
  </si>
  <si>
    <t>Dool, R. van den &amp; Hoekman, R.</t>
  </si>
  <si>
    <t>Mulier instituut</t>
  </si>
  <si>
    <t>Evaluatie fiscale ondernemersregelingen</t>
  </si>
  <si>
    <t>Effectiviteit re-integratiebeleid gemeente Stichtse Vecht</t>
  </si>
  <si>
    <t>Zandvliet, Kees, Peter van Nes &amp; Elisa de Vleeschouwer</t>
  </si>
  <si>
    <t>Inkomenspositie ouderen</t>
  </si>
  <si>
    <t>Scholte, Robert &amp; Marloes Lammers</t>
  </si>
  <si>
    <t>FNV</t>
  </si>
  <si>
    <t>Rapport: expats krijgen te veel belastingvoordelen in Nederland</t>
  </si>
  <si>
    <t>Evaluatie 30%-regeling</t>
  </si>
  <si>
    <t>Kosten en opbrengsten terugbrengen AOW-leeftijd naar 65 jaar</t>
  </si>
  <si>
    <t>Koning, Jaap de, Arie Gelderblom, José Gravesteijn &amp; Elisa de Vleeschouwer</t>
  </si>
  <si>
    <t>Wie sporten er meer in Nederland? Een onderzoek naar verschillen in sportdeelname voor individuele en gemeentekenmerken</t>
  </si>
  <si>
    <t>Gooskens, Wendy</t>
  </si>
  <si>
    <t>Radboud Universiteit Nijmegen</t>
  </si>
  <si>
    <t>Verfijning bijstandsverdeelmodel 2018</t>
  </si>
  <si>
    <t xml:space="preserve">Caren Tempelman, Sandra Vriend, Lennart Kroon, Gerard Marlet &amp; Clemens van Woerkens </t>
  </si>
  <si>
    <t>Risicoverevening:Onderzoek cliëntprofielen wijkverpleging</t>
  </si>
  <si>
    <t>Schipper, Esther, Jan Reitsma, Loes Koster &amp; Wijnand van Plaggenhoef</t>
  </si>
  <si>
    <t xml:space="preserve">Significant </t>
  </si>
  <si>
    <t>Geld mag geen drempel zijn. Evaluatie van de Tijdelijke regeling voorziening leermiddelen voor mbo-deelnemers uit minimagezinnen</t>
  </si>
  <si>
    <t>Berg, E. van den, L. Megens, A.L. van der Vegt &amp; F. Scholten</t>
  </si>
  <si>
    <t>Financial Constraint and R&amp;D Investment: Evidence from CIS</t>
  </si>
  <si>
    <t>Schim van der Loeff, Sybrand &amp; Pierre Mohnen, Franz Palm, Amaresh Tamari</t>
  </si>
  <si>
    <t>Persistence of innovation in Dutch Manufacturing: Is it Spurious?</t>
  </si>
  <si>
    <t>Raymond, Wladimir&amp; Pierre Mohnen, Franz Palm, Sybrand Schim van der Loeff</t>
  </si>
  <si>
    <t>Joint Modeling of Dynamics of Innovation Activities, R&amp;D Investment and Innovative Sales</t>
  </si>
  <si>
    <t>Raymond, Wladimir &amp; Pierre Mohnen, Franz Palm, Sybrand Schim van der Loeff</t>
  </si>
  <si>
    <t>The Behavior of Maximum Likelihood Estimationn of Dynamic Panel Data Sample Selection Models</t>
  </si>
  <si>
    <t>Financial Constraints and other  Obstacles: Are they  a  Threat  to Innovation Activity?</t>
  </si>
  <si>
    <t>Mohnen, P. &amp; F.C. Palm, S.Schim van der Loeff, A. Tiwari</t>
  </si>
  <si>
    <t>Stability and turbulence in the size distribution of firms: Evidence from Dutch manufacturing</t>
  </si>
  <si>
    <t>Marsili, O.</t>
  </si>
  <si>
    <t>Born to flip: Innovatiom Modes of Exit</t>
  </si>
  <si>
    <t>Cefis, Elena &amp; Orietta Marsili</t>
  </si>
  <si>
    <t>Fortune favours the Brave: The Distribution of innovative performance in Finland, the Netherlands and the UK</t>
  </si>
  <si>
    <t>Ebersberger, Bernd &amp; Orietta Marsili, Toke Reichstein, Ammon Salter</t>
  </si>
  <si>
    <t>Stability and Turbulance in the size distribution of firms: Evidence from Dutch Manufacturing</t>
  </si>
  <si>
    <t>Marsili, Orietta</t>
  </si>
  <si>
    <t>The Dark Matter of Innovation: Design and Innovative Performance in Dutch Manufacturing</t>
  </si>
  <si>
    <t xml:space="preserve">Marsili, O.&amp; A. Salter </t>
  </si>
  <si>
    <t>EUR/RSM &amp; AIM Research</t>
  </si>
  <si>
    <t>Going, Going, Gone Innovation and Exit Manufacturing firms</t>
  </si>
  <si>
    <t>Varianten voor een verdeelmodel voor het werkdeel van de WWB</t>
  </si>
  <si>
    <t>Verveen, E. &amp; Z. Berdowski en M. van der Aalst (RvB)</t>
  </si>
  <si>
    <t>Activeringstabellen 2003/2004</t>
  </si>
  <si>
    <t>Echtelt, P. van &amp; E. Mandos</t>
  </si>
  <si>
    <t>Research voor Beleid</t>
  </si>
  <si>
    <t>Beloningsverschillen tussen de marktsector en collectieve sector in 2001</t>
  </si>
  <si>
    <t>Heyman, A. &amp; E. Berkhout, W. Salverda en M. Biermans</t>
  </si>
  <si>
    <t>SEO Economisch Onderzoek &amp; ALAS</t>
  </si>
  <si>
    <t>Op weg naar early warning</t>
  </si>
  <si>
    <t>Marlet, Gerard &amp; Clemens van Woerkens</t>
  </si>
  <si>
    <t>Feasibility of indicators for researchers’ geographical mobility and career paths. First compilation of national results for the Netherlands</t>
  </si>
  <si>
    <t>Zwinkels, W. &amp; J. Sanders</t>
  </si>
  <si>
    <t>Feasiblity  of indicators for researchers' geographical mobility  career paths: 1,2,3</t>
  </si>
  <si>
    <t>Non-energy use of fossil fuels and resulting CO2 emissions: Bottum-up estimates for the entire world and for major developing countries</t>
  </si>
  <si>
    <t>Weiss, Martin &amp; Maarten Neelis, Martin Patel, Kornelis Blok</t>
  </si>
  <si>
    <t>Non-energy  use of Fossil fuels and  resulting  CO2 emiissions: Bottum-up estimates for the  entire World  and for major developing Countries</t>
  </si>
  <si>
    <t>Weiss, M. &amp; M. Neelis, M. Patel, K. Blok</t>
  </si>
  <si>
    <t>SZW Jaarverslag 2006</t>
  </si>
  <si>
    <t>SZW</t>
  </si>
  <si>
    <t>Parental education and the Transition to higher Secondary education 1965-1999</t>
  </si>
  <si>
    <t>Kloosterman, R. &amp; P.M. de Graaf, S. Ruiter, G. Krraaykamp</t>
  </si>
  <si>
    <t>Belemmeringen voor 65-plussers bij betaalde arbeid</t>
  </si>
  <si>
    <t>Zwart, B.C.H. de &amp; E. Smolenaars, P.G.M. Molenaar-Cox</t>
  </si>
  <si>
    <t>ASTRI</t>
  </si>
  <si>
    <t>Wage Structure and Labour Mobility in the Netherlands 1999-2003</t>
  </si>
  <si>
    <t>Borghans, Lex &amp; Ben Kriechel</t>
  </si>
  <si>
    <t>Werkt de reïntegratie markt?</t>
  </si>
  <si>
    <t>Groot, Inge, David Hollander, Peter Hopen &amp; Sander Onderstal</t>
  </si>
  <si>
    <t>SEO Economisch Onderzoek &amp; UvA</t>
  </si>
  <si>
    <t>No cure no pay, een goed idee</t>
  </si>
  <si>
    <t>Groot, Inge &amp; Sander Onderstal</t>
  </si>
  <si>
    <t>Minderheden in de middenklasse. In: SCP, Sociaal en Cultureel Rapport</t>
  </si>
  <si>
    <t>Dagevos, J.G. &amp; S.F. Hoff en A.J. Soede</t>
  </si>
  <si>
    <t>Naar een nieuwe armoedegrens</t>
  </si>
  <si>
    <t>Soede A.J.</t>
  </si>
  <si>
    <t>Onderzoek voor het risicovereveningsmodel 2007; Bundel deelrapportages</t>
  </si>
  <si>
    <t>Vliet, R.C.J.A. van &amp; F.J. Prinsze</t>
  </si>
  <si>
    <t>EUR/iBMG</t>
  </si>
  <si>
    <t>Specialized Care and Survival of  Ovarium Cacer  Patients in the Netherlands: Nationwide  Cohort Study</t>
  </si>
  <si>
    <t>Vernooij, F. &amp; A. Peter, M. Heintz, P. Witteveen, M vd Heiden- vd Loo, J.W. Coebergh, Y. vd Graaf</t>
  </si>
  <si>
    <t>Euregionale Arbeidsmarkt: deel 1,2,3</t>
  </si>
  <si>
    <t>Ende, Martin van der</t>
  </si>
  <si>
    <t>Methoden voor omvangschattingen van verborgen populaties, met name illegalen</t>
  </si>
  <si>
    <t>Sikkel, D., P.G.M. van der Heijden &amp; G. van Gils</t>
  </si>
  <si>
    <t>Methoden voor Omvangschatting  van verborgen populaties, m.n. illegale</t>
  </si>
  <si>
    <t>Sikkel, D., P.G.M. van der  Heijden &amp; G. van Gils</t>
  </si>
  <si>
    <t>Beloningsverschillen tussen markt en collectieve sector</t>
  </si>
  <si>
    <t>Heyma, Arjan &amp; Ernest Berkhout, Maarten Bierman, Wiemer Salverda</t>
  </si>
  <si>
    <t>Wat schuift dat nou, zo'n eigen bedrijf? Feiten, cijfers en trends over inkomens van ondernemers 1990-2004</t>
  </si>
  <si>
    <t>Folkeringa, M. &amp; P.M. de Jong</t>
  </si>
  <si>
    <t>EIM</t>
  </si>
  <si>
    <t>Verveen, Ellen &amp; Zosja Berdowski, Mechelien van der Aalst</t>
  </si>
  <si>
    <t>SchuldSanering: deel 1 t/m 6</t>
  </si>
  <si>
    <t>Maas, G.C.</t>
  </si>
  <si>
    <t>Achtergrondstudies bij de Evaluatie WBSO 2001-2005; Achtergrondstudie C: Doelgroepanalyse</t>
  </si>
  <si>
    <t>Jong, J.P.J. de &amp; G. Brummelkamp</t>
  </si>
  <si>
    <t>Evaluatie WBSO 2001-2005 Effecten, doelgroepbereik, uitvoering (achtergrond studies)</t>
  </si>
  <si>
    <t>Jong, J. de &amp; W. Verhoeven</t>
  </si>
  <si>
    <t>Evaluatie WBSO 2001-2005 Effecten, doelgroepbereik, uitvoering (hoofdrapport)</t>
  </si>
  <si>
    <t>Evaluatie WBSO 2001-2005; Effecten, doelgroepbereik en uitvoering</t>
  </si>
  <si>
    <t>Jong, J.P.J. de &amp; W.H.J. Verhoeven</t>
  </si>
  <si>
    <t>Follow-up na Hartcatherisatiekamer</t>
  </si>
  <si>
    <t>Jong, Jonas de</t>
  </si>
  <si>
    <t>Follow-up hartcatheterisatiekamer</t>
  </si>
  <si>
    <t>Prognosis among survivors of primary ventricular fibrillation in the percutaneous coronary intervention era</t>
  </si>
  <si>
    <t>Jong, Jonas S.S.S, de, Roos F. Marsman, José P. S. Henriques, Karel T. Koch, Robbert J. de Winter, Michael W. T. Tanck, Arthur A. M. Wilde &amp; Lukas R. C. Dekker</t>
  </si>
  <si>
    <t>American Heart Journal</t>
  </si>
  <si>
    <t>Kleinschalig ondernemen 2006. Structuur en ontwikkeling van het Nederlandse MKB</t>
  </si>
  <si>
    <t>Folkeringa, M. &amp; S. Tan</t>
  </si>
  <si>
    <t>COS Feitenkaart, Inkomensbronnen Rotterdam en regio 2002</t>
  </si>
  <si>
    <t>Graaf, Paul de</t>
  </si>
  <si>
    <t>COS</t>
  </si>
  <si>
    <t>Monitor lage inkomens Delft, 1e meting</t>
  </si>
  <si>
    <t>Moors, Frans &amp; Paul de Graaf</t>
  </si>
  <si>
    <t>COS Feitenkaart, Inkomensgegevens Rotterdam op deelgemeente- en buurtniveau 2003</t>
  </si>
  <si>
    <t>COS Feitenkaart,Inkomensgegevens Rotterdam en regio 2003</t>
  </si>
  <si>
    <t>Armoedebericht 2006</t>
  </si>
  <si>
    <t>Wildeboer Schut, J.M.</t>
  </si>
  <si>
    <t>SCP &amp; CBS</t>
  </si>
  <si>
    <t>De financiële positie In: De Boer, A (red), Rapportage ouderen 2006; veranderingen in de leefsituatie en levensloop</t>
  </si>
  <si>
    <t>Soede, A.J. &amp; A. de Boer (red)</t>
  </si>
  <si>
    <t>Soede, A.J.</t>
  </si>
  <si>
    <t>Veranderingen in inkomen In: De Boer, A (red), Rapportage ouderen 2006; veranderingen in de leefsituatie en levensloop</t>
  </si>
  <si>
    <t>Monitor nieuw ondernemerschap 2006</t>
  </si>
  <si>
    <t>Folkeringa, M. &amp; P.M. de Jong en W.H.J. Verhoeven</t>
  </si>
  <si>
    <t>Nieuwe ondernemers: nieuwe vormen van dienstverlening? Verschillen in aangifte-, betaal- en opheffingsgedrag tussen groepen etnische starters</t>
  </si>
  <si>
    <t>Physical indicators as a basis for estimating energy efficiency developments in the Dutch industry -- update 2007</t>
  </si>
  <si>
    <t>Roes, L. &amp; M. Neelis, A. Ramirez</t>
  </si>
  <si>
    <t>Preventiequote WWB-GSD en Doorstroomquote WW-WWb</t>
  </si>
  <si>
    <t>Geenen, Mathijs</t>
  </si>
  <si>
    <t>De Ontwikkeling van (nieuw)  ondernemerschap in 40  aanddachtswijken</t>
  </si>
  <si>
    <t>Folkeringa, M. &amp; P. 't Hart, W. Verhoeven</t>
  </si>
  <si>
    <t>Sociale verschillen in zorggebruik en zorgkosten in Nederland 2003</t>
  </si>
  <si>
    <t>Kubst, A.E. &amp; W.J. Meerding, N. Varenik, J.J. Polder, J.P. Medenbach</t>
  </si>
  <si>
    <t>Strategies for housing renovation in the Netherlands: promising technologies and cluster innovativeness</t>
  </si>
  <si>
    <t xml:space="preserve">Thissen, Christiaan </t>
  </si>
  <si>
    <t>Woningrenovatie en energiebesparing</t>
  </si>
  <si>
    <t>Woningrenovatie in Nederland: veelbelovende  technologie en innovativiteit van het Cluster</t>
  </si>
  <si>
    <t>Retinablastroom</t>
  </si>
  <si>
    <t>Marees, Tamara</t>
  </si>
  <si>
    <t>UMC</t>
  </si>
  <si>
    <t>Chronic Obstructive Pulmonery Disease: a Neglected Cardiac risk factor among Patients with Periplenol Artial Disease</t>
  </si>
  <si>
    <t>Gestel, Y. van &amp; S. Hoeks, D. Sin, G. Welten, O. Schouten, H. Stam, W. Rontijs, M. Muhlenbanmer, J. Bax, K. Rabe, R. van Donburg, P. Polders</t>
  </si>
  <si>
    <t>Monitor Lage Inkomens Westland</t>
  </si>
  <si>
    <t>Graaf, Paul de &amp; Ivo Libregts en Frans  Moors</t>
  </si>
  <si>
    <t>Niet-gwebruik WWB 65+  in 2005</t>
  </si>
  <si>
    <t>Olieman, Robert</t>
  </si>
  <si>
    <t>Bijstandsfraudevoorzieningen</t>
  </si>
  <si>
    <t>Voogd, Patrick</t>
  </si>
  <si>
    <t>Evaluatie Jobcoaching: eindrapport</t>
  </si>
  <si>
    <t>Aarts, Leo &amp; Charlotte van  Hout, Claartje Thijs, Krista Visscher</t>
  </si>
  <si>
    <t>Regionale variatie in opbrengst  van akkerbouwgewassen in Nederland</t>
  </si>
  <si>
    <t>Dijk, W. van &amp; W vd Bberg, H.F.M. ten Berge</t>
  </si>
  <si>
    <t>Arbeidsproductiviteit en de Beroepsbevolking</t>
  </si>
  <si>
    <t>De Wet Inburgering Buitenland</t>
  </si>
  <si>
    <t>Groenewoud, Maikel &amp; Marije van Gent</t>
  </si>
  <si>
    <t>Preventie woninginbraak</t>
  </si>
  <si>
    <t>Vollaard, Ben</t>
  </si>
  <si>
    <t>Herijking cijfers 2009-2010</t>
  </si>
  <si>
    <t>Kreetz, Dorian &amp; Marcel Warnaar</t>
  </si>
  <si>
    <t>Achtergrondstudies bij de Evaluatie WBSO 2001-2005; Achtergrondstudie A: Econometrische Analyse</t>
  </si>
  <si>
    <t>Lokshin, B. &amp; P.A. Mohnen</t>
  </si>
  <si>
    <t>MERIT</t>
  </si>
  <si>
    <t>Onderzoek opvang kinderinstellingen 2005</t>
  </si>
  <si>
    <t>Noailly, J. &amp; S. Visser</t>
  </si>
  <si>
    <t>Allochtonen in het Hoger Onderwijs</t>
  </si>
  <si>
    <t>Jennissen, Roel</t>
  </si>
  <si>
    <t>Integratiekaart 2006</t>
  </si>
  <si>
    <t xml:space="preserve">Jennissen, R.P.W. </t>
  </si>
  <si>
    <t>Ontwikkelingen in de maatschappelijke participatie</t>
  </si>
  <si>
    <t>Jennissen, R.P.W. &amp; J. Oudhof</t>
  </si>
  <si>
    <t>Jaarrapport Integratie 2007</t>
  </si>
  <si>
    <t>Gijsberts, Mérove &amp; Jaco  Dagevos</t>
  </si>
  <si>
    <t>Wage  dynamics and the business cycle in the Netherlands</t>
  </si>
  <si>
    <t>Caju, Philip Du &amp; Gabor Katay, Ana Lamo, Daphne Nicolitsas and Steven Poelhekke</t>
  </si>
  <si>
    <t>Inter-industry wage differential in EU countries</t>
  </si>
  <si>
    <t>Poelhekke, Stefan</t>
  </si>
  <si>
    <t>Effect re-intergratietrajecten op de uitgaven aan de sociale zekerheid</t>
  </si>
  <si>
    <t>Groot, I., P. Hop, L. Kok, M. de Graaf-Zijl, B. Fermin, D. Oom &amp; W. Zwinkels</t>
  </si>
  <si>
    <t>Langdurig in de WAO</t>
  </si>
  <si>
    <t>Kok, Lucy &amp; Peter Hop</t>
  </si>
  <si>
    <t>De lange weg naar Werk</t>
  </si>
  <si>
    <t>In en uit de Wajong</t>
  </si>
  <si>
    <t>Offshoring en de Werknemer</t>
  </si>
  <si>
    <t>Heyma, Arjan &amp; Juules Theeuwes</t>
  </si>
  <si>
    <t>Kosten van Ziekten in Nederland 2005</t>
  </si>
  <si>
    <t>Poos, MJJC &amp; JM Smit, J. Groen, G. Kommer, LC Slobbe</t>
  </si>
  <si>
    <t>Verdieping van de Vraag Aanbod Analyse Monitor: deel A en B</t>
  </si>
  <si>
    <t>Zwaanswijk, M. &amp; E.M. Zantinge, J. Muijskens, P.F.M. Vverbeek, D.H. de Bakker</t>
  </si>
  <si>
    <t>Zelfstandig uit de bijstand</t>
  </si>
  <si>
    <t>Groot, Inge &amp; Aenneli Houkes</t>
  </si>
  <si>
    <t>Eindrapport relatie bedrijfsfactoren en WAO instroom</t>
  </si>
  <si>
    <t>Hooftman, W.E. &amp; A. Venema, E.M.M. de Vroome, I.L.D. Houtman</t>
  </si>
  <si>
    <t>Uitzendbaan versus direct  dienstverband: vergelijking loopbaan  CWI-cliënten</t>
  </si>
  <si>
    <t>Heyma, Arjan &amp; Chris van Klaveren, Marloes de Graaf-Zijl</t>
  </si>
  <si>
    <t>De geografische dimensie van partnerkeuze</t>
  </si>
  <si>
    <t>Haandrikman, K., C. Harmsen, L.J.G. van Wissen, I. Hutter</t>
  </si>
  <si>
    <t>Geography matters. Patterns of spatial homogamy in the Netherlands</t>
  </si>
  <si>
    <t>Haandrikman, Karen, Carel  Harmsen, Leo van Wissen, Inge Hutter</t>
  </si>
  <si>
    <t>Population, Space and Place</t>
  </si>
  <si>
    <t>"That's a different kind op person" - Spatial connotactions and partner choice.</t>
  </si>
  <si>
    <t>Haandrikman, Karen &amp; Inge Hutter</t>
  </si>
  <si>
    <t>Haandrikman, Karen, Leo van Wissen &amp; Carel Harmsen</t>
  </si>
  <si>
    <t>Applied Spatial Analysis and Policy</t>
  </si>
  <si>
    <t>Spatial homogamy: The geographical dimensions of partner choice</t>
  </si>
  <si>
    <t>Haandrikman, Karen</t>
  </si>
  <si>
    <t>Journal of Economic and Social Geography</t>
  </si>
  <si>
    <t>The geographical dimensions of partner choice</t>
  </si>
  <si>
    <t>Rozenberg Publishers</t>
  </si>
  <si>
    <t>Minder werk voor laagopgeleiden? Ontwikkelingen in baanbezit en baankwaliteit 1992-2008. Den Haag</t>
  </si>
  <si>
    <t>Josten, E.</t>
  </si>
  <si>
    <t>Bijzondere ontmoetingen bij alledaagse activiteiten</t>
  </si>
  <si>
    <t>Dammers, E. &amp; M. Ga;;e, M. van Middelkoop, P. Peeters, S. Boschman en S. Declerk</t>
  </si>
  <si>
    <t>Contact oppertunities  in neighbourhoods, education and work</t>
  </si>
  <si>
    <t>Middelkoop, M. van &amp; S. Declerck</t>
  </si>
  <si>
    <t>Residental segregation and interethnic leisure contact</t>
  </si>
  <si>
    <t>Boschman, S. &amp; M. van Middelkoop</t>
  </si>
  <si>
    <t>Residential segregation and interethnic contact in the Netherlands</t>
  </si>
  <si>
    <t xml:space="preserve">Boschman, S.  </t>
  </si>
  <si>
    <t>Het meten van onderwijskwaliteit en de effecten van recente onderwijsverniewingen, In: Commissie Parlementair Onderzoek Onderwijsvernieuwingen, Tijd voor Onderwijs, Deelrapport lV</t>
  </si>
  <si>
    <t>Borghans, L. &amp; R. van der Velden, C. Büchner, J. Coenen &amp; C. Meng</t>
  </si>
  <si>
    <t>Parkeerproblemen in Woongebieden</t>
  </si>
  <si>
    <t>Coevering, Paul van de</t>
  </si>
  <si>
    <t>Solidarity in the Dutch  Heathcare system: a lifecycle approach</t>
  </si>
  <si>
    <t>Wouterse, Bram</t>
  </si>
  <si>
    <t>Jeugdmonitor  Drenthe</t>
  </si>
  <si>
    <t xml:space="preserve">Brady, Hugo Parker </t>
  </si>
  <si>
    <t>Kwartaalbericht Arbeidsmarkt</t>
  </si>
  <si>
    <t>Eck, J. van</t>
  </si>
  <si>
    <t>Employability naar bedrijfsomvang</t>
  </si>
  <si>
    <t>Klaveren, C. van &amp; A. Heyma</t>
  </si>
  <si>
    <t>Report on the 2008 oecd patient safety indicators pilot data collection</t>
  </si>
  <si>
    <t>Westert GP, Berg MJ van den, Koolman X, Verkleij H (red)</t>
  </si>
  <si>
    <t>Zorgbalans 2010. De prestaties van de Nederlandse zorg.</t>
  </si>
  <si>
    <t>Westert GP, Berg MJ van den, Zwakhals SLN, Heijink R, Jong JD de, Verkleij H (red).</t>
  </si>
  <si>
    <t>Het gebruik giftenaftrek in Nederland, 1977-2007</t>
  </si>
  <si>
    <t>Bekkers, Rene</t>
  </si>
  <si>
    <t>Het gebruik van Giftenaftrek in Nederland</t>
  </si>
  <si>
    <t>Giftenaftrek in Nederland: evaluatiemethoden en hun interpretatie</t>
  </si>
  <si>
    <t>Bekkers, R.</t>
  </si>
  <si>
    <t>Weekblad Fiscaal Recht, 139 (6873): 1140‐1148</t>
  </si>
  <si>
    <t>Gezinsmigratie</t>
  </si>
  <si>
    <t>Liu, Jocelyn &amp; Heleen Muermans</t>
  </si>
  <si>
    <t>Zorgatlas: Stefte naar Doodsoorzaken</t>
  </si>
  <si>
    <t>Zwakhals, Laurens &amp; Frank den Hertog, Dirk-Jan Griffioen</t>
  </si>
  <si>
    <t>Armoedebericht 2008</t>
  </si>
  <si>
    <t>Soede, Arjan &amp; Jean Marie Wildeboer-Schut</t>
  </si>
  <si>
    <t>Sociale uitsluiting bij kinderen: omvang en achtergronden</t>
  </si>
  <si>
    <t>Roest, Annette, Anne Marike Lokhorst &amp; Cok Vrooman</t>
  </si>
  <si>
    <t>Roest, Annette</t>
  </si>
  <si>
    <t>Effecten van bovenwettelijke uitkeringen</t>
  </si>
  <si>
    <t>Kok, Lucy, Caren Tempelman &amp; Peter Hop</t>
  </si>
  <si>
    <t>Topbeloningen in Nederland: Globalisring en Topbeloningen in Nederland</t>
  </si>
  <si>
    <t>Straathof, Bas &amp; Stefan Groot en Jan Mölhmann</t>
  </si>
  <si>
    <t>Topbeloningen in Nederland: Waarom Topbeloningen sneller groeien</t>
  </si>
  <si>
    <t>Will you still need me when I'm 64?</t>
  </si>
  <si>
    <t>Ours, Jan van</t>
  </si>
  <si>
    <t>Verdeelsleutel MEE-middelen</t>
  </si>
  <si>
    <t>Tempelman, Caren &amp; Peter Hop</t>
  </si>
  <si>
    <t>Rheumatology Advance Access</t>
  </si>
  <si>
    <t>Meijer, M. &amp; P. Meiners, J. Huddelston Slater, F. Spijkervet, C. Kallenberg, A. Vissink</t>
  </si>
  <si>
    <t>Bedrijfsopleidingen en de arbeidsmarktpositie van werknemers</t>
  </si>
  <si>
    <t>Picchio, Matteo &amp; Jan C. van Ours</t>
  </si>
  <si>
    <t>Market imperfections and firm-sponsored training</t>
  </si>
  <si>
    <t>Labour Economics</t>
  </si>
  <si>
    <t>Zelfstandig uit de WW</t>
  </si>
  <si>
    <t>Hop, Peter &amp; Lucy Kok en Jurriaan Prins</t>
  </si>
  <si>
    <t>Wijkhuis, Vina &amp; Roel Jennissen</t>
  </si>
  <si>
    <t>Nieuwbouw, verhuizingen en segregatie</t>
  </si>
  <si>
    <t>Dam, F. van, Boschman, S., Peeters, P. Kempen, R. van, Bolt, G. &amp; Ekamper, P.</t>
  </si>
  <si>
    <t>Mixed neighbourhoods; effects of urban restructuring and new housing development</t>
  </si>
  <si>
    <t>Boscham, S., Bolt, G., Kempen, R. van &amp; Dam, F. van</t>
  </si>
  <si>
    <t>New housing development, selective mobility patterns and ethnic residential segregation</t>
  </si>
  <si>
    <t>Boschman, S., Kempen, R. van, Bolt, G. &amp; Dam, F. van</t>
  </si>
  <si>
    <t>ENHR conference paper</t>
  </si>
  <si>
    <t>Jeugdmonitor Drenthe</t>
  </si>
  <si>
    <t>Hoekman, Petra</t>
  </si>
  <si>
    <t>Tijd voor Zorg &amp; Arbeid</t>
  </si>
  <si>
    <t>Jaarraort Integratie 2009</t>
  </si>
  <si>
    <t>Dagevos, Gijsberts</t>
  </si>
  <si>
    <t>Onderzoek Levensloop</t>
  </si>
  <si>
    <t>Beer, C.R.T.</t>
  </si>
  <si>
    <t>Langdurig verblijf in de flexibele schil van de Arbeidsmarkt</t>
  </si>
  <si>
    <t>Heyma, Arjan, J. Peter Hop &amp; Theo Smid</t>
  </si>
  <si>
    <t>Pilot verrijking gevens GGS-enquête met CBS gegevens</t>
  </si>
  <si>
    <t>Brink, Carolien van den</t>
  </si>
  <si>
    <t>PrO-loopbaan vervolgd</t>
  </si>
  <si>
    <t>Koopman, Pjotr, Mechtild Derriks &amp; Eva Voncken</t>
  </si>
  <si>
    <t>Kohnstamminstituut &amp; Actis</t>
  </si>
  <si>
    <t>Multiproblematiek bij cliënten</t>
  </si>
  <si>
    <t>Bosselaar, Hans &amp; Erica Maurits, Petra Molenaar-Cox, Rienk Prins</t>
  </si>
  <si>
    <t>ARBEIDSMARKTONDERZOEK DRENTHE 2011. Ontwikkelingen en prognoses op de Drentse arbeidsmarkt 2010-2014.</t>
  </si>
  <si>
    <t>Faun, H.M.F.G.M., J.W.M. Gardeniers, J.J.L. Meuwissen, B.L.E. Paashuis &amp; L.P. Schakel</t>
  </si>
  <si>
    <t>E,til</t>
  </si>
  <si>
    <t>RAIL 2011. Regionale Arbeidsmarkt Informatie Limburg</t>
  </si>
  <si>
    <t>Cremers, M.W.J., H.M.F.G.M. Faun, J.W.M. Gardeniers, D.H. Grijpstra, P.M. de Klaver, J.J.L. Meuwissen, B.L.E. Paashuis &amp; L.P. Schakel</t>
  </si>
  <si>
    <t>E,til en Research voor Beleid</t>
  </si>
  <si>
    <t>Arbeidsmarkt ECABO-domein 2010-2015</t>
  </si>
  <si>
    <t>Faun, H.M.F.G.M., J.W.M. Gardeniers, J.J.L. Meuwissen, B.L.E. Paashuis, M.R.R.W. Poeth, J. de Quillettes &amp; L.P. Schakel</t>
  </si>
  <si>
    <t>Arbeidsmarktprognoses Overijssel</t>
  </si>
  <si>
    <t>Kosten en resultaten re-integratie</t>
  </si>
  <si>
    <t>Het verdiende loon? Loonontwikkeling overheidswerknemers vergeleken met de marktsector</t>
  </si>
  <si>
    <t>Berkhout, Ernest &amp; Siemen van der Werff &amp; Arjan Heyma</t>
  </si>
  <si>
    <t>Jeugdzorg in groeifase</t>
  </si>
  <si>
    <t>Pommer, Evert, Hetty van Kempen &amp; Klarita Sadiraj</t>
  </si>
  <si>
    <t>Profijt van de overheid in 2007</t>
  </si>
  <si>
    <t>Jonker, JJ &amp; E. Pommer</t>
  </si>
  <si>
    <t>Profijt van de gemeentelijke uitgaven</t>
  </si>
  <si>
    <t>Kuhry, B., JJ. Jonker &amp; A. van der Torre</t>
  </si>
  <si>
    <t>De financiële positie van gezinnen</t>
  </si>
  <si>
    <t>Bucx, F., H. van Kempen &amp; JM. Wildeboer Schut</t>
  </si>
  <si>
    <t>Minder voor het midden. Profijt van de overheid 2007</t>
  </si>
  <si>
    <t>Pommer, E.Jedid-Jah Jonker, Ab van der Torre &amp; Hetty van Kempen</t>
  </si>
  <si>
    <t>Niet-gebruik inkomensondersteunende maatregelen</t>
  </si>
  <si>
    <t>Tempelman, Caren, Aenneli Houkes &amp; Jurriaan Prins</t>
  </si>
  <si>
    <t>Prijzengids voor de bijzondere bijstand</t>
  </si>
  <si>
    <t>Mogelijke effecten van intensieve-veehouderij op de gezondheid van omwonenden: onderzoek naar potentiële blootstelling en gezondheidsproblemen</t>
  </si>
  <si>
    <t>Heederik, D.J.J. &amp; C.J. Ijzermans (red.)</t>
  </si>
  <si>
    <t>IRAS, NIVEL, RIVM</t>
  </si>
  <si>
    <t>Nederlandse clusters in kaart gebracht</t>
  </si>
  <si>
    <t>Roelandt, Theo, Anne Reitsma, Evert-Jan Visser, Pieter de Bruijn, Marcel Kleijn, Bram Kaashoek, Robbin te Velde &amp; Jaap Veldkamp</t>
  </si>
  <si>
    <t>Technische en Methodologische toelichting &amp; disclaimers bij de Clusterkaarten</t>
  </si>
  <si>
    <t>Kaashoek, Bram, Jaap Veldkamp, Robbin te Velde, E.J. Visser &amp; J.A. Roelandt</t>
  </si>
  <si>
    <t>Bbz 2004: uit het startblok</t>
  </si>
  <si>
    <t>Ende, Martin van der, Margaret Chotkowski, Nick van der Lijn &amp; Vincent Thio</t>
  </si>
  <si>
    <t>Ecorys</t>
  </si>
  <si>
    <t>Exploring the Relationship between Labor Market Turbulence and ICT Use. Using Firm- and Worker-level Data from the Netherlands. Technical Report</t>
  </si>
  <si>
    <t>ir. Jasper Veldman &amp; Yordi Rienstra MSc</t>
  </si>
  <si>
    <t>Weel B, ter, Sandra Vriend, Tom Smits, Joost Witteman &amp; Nicole Rosenboom_x000D_</t>
  </si>
  <si>
    <t>Nationaal Regieorgaan Onderwijsonderzoek (NRO)</t>
  </si>
  <si>
    <t>Nationaal cohort onderzoek Onderwijs_x000D_</t>
  </si>
  <si>
    <t>Eens een dief, altijd een dief? Een verkenning rond het meten van de effectiviteit van de Verklaring Omtrent het Gedrag</t>
  </si>
  <si>
    <t>Gevolgen van de kostendelersregeling in Amsterdam_x000D_</t>
  </si>
  <si>
    <t>Termorshuizen, Fabian, Jean-Paul Selten &amp; Eibert R. Heerdink_x000D_</t>
  </si>
  <si>
    <t>A Data-driven procedure to determine the bunching window - an application to the Netherlands</t>
  </si>
  <si>
    <t>Hertog Pim den, Arthur Vankan, Bart Verspagen (MERIT), Pierre Mohnen (MERIT), Leonique Korlaar, Bram Erven, Matthijs Janssen &amp; Bert Minne</t>
  </si>
  <si>
    <t>Gewogen risico Deel 1: Communiceren over recidive in zedenzaken_x000D_</t>
  </si>
  <si>
    <t>Gewogen risico Deel 2: Behandeling opleggen aan zedendelinquenten_x000D_</t>
  </si>
  <si>
    <t>Monitor voor de programma’s ‘Elke jongere telt’ en ‘Jongeren aan de slag’ onderdeel_x000D_ arbeidsmarktanalyse 2016</t>
  </si>
  <si>
    <t>Weglek van bètatechnisch potentieel.De aansluiting van bètatechnisch onderwijs_x000D_aar de bètatechnische arbeidsmarkt in kaart</t>
  </si>
  <si>
    <t>Young, online and connectd: The impact of everyday Internet use of _x000D_Dutch adolescents on social cohesion</t>
  </si>
  <si>
    <t>Graaf-Zijl Marloes de, Edith Josten, Stefan Boeters, Evelien Eggink, Jonneke Bolhaar, Ingrid Ooms, Adri den Ouden &amp; Isolde Woittiez</t>
  </si>
  <si>
    <t>Arbeidsmarktrapportage 2017_x000D_</t>
  </si>
  <si>
    <t>Association Between Statin Use and Cardiovascular Mortality at the Population Level:_x000D_An Ecologic Study</t>
  </si>
  <si>
    <t>Aanvaarding van hulp in relatie tot slachtofferkenmerken: Een analyse van verrijkte cliëntgegevens van Slachtofferhulp Nederland_x000D_</t>
  </si>
  <si>
    <t>Leferink, S. &amp; Wessel, F. van</t>
  </si>
  <si>
    <t>Non, Marielle_x000D_</t>
  </si>
  <si>
    <t>Elfering, S., Kuijk, J. van &amp; Mommers, A.</t>
  </si>
  <si>
    <t>Marokkaanse Nederlanders 2013: De positie op de terreinen van onderwijs, arbeid en uitkering en criminaliteit</t>
  </si>
  <si>
    <t>Beweging in cao’s. Een verkenning van ontwikkelingen in decentralisatie, differentiatie,_x000D_ duurzame inzetbaarheid en mobiliteit</t>
  </si>
  <si>
    <t>The interplaybetweenneighbourhoodcharacteristics:Thehealth impact of changes in _x000D_social cohesion,disorder and unsafety feelings</t>
  </si>
  <si>
    <t>Voortgangsrapportage wijkaanpak 2013_x000D_</t>
  </si>
  <si>
    <t>Ginkel, Joost R. van, Femmie Juffer, Marian J. Bakermans-Kranenburg1 &amp; _x000D_Marinus H. van Ijzendoorn</t>
  </si>
  <si>
    <t>Monitor Technische Arbeidsmarkt 2013_x000D_</t>
  </si>
  <si>
    <t>Hoes, E.C.M, M.E. Spiekman&amp;  T. Bulavskaya_x000D_</t>
  </si>
  <si>
    <t>Berkhout, A., M. Groenewoud, G.H.J. Homburg, L. Mallee &amp; R.C. van Waveren_x000D_</t>
  </si>
  <si>
    <t>Veerkracht en de Regionale Arbeidsmarkt: Kansen op Vernieuwing in Rijnmond</t>
  </si>
  <si>
    <t>Topsectoren in Limburg, een grafische nulmeting van de stand van zaken in Limburg en Nederland</t>
  </si>
  <si>
    <t>Nieuwsbrief Arbeidsmarkt Prognose Overijssel</t>
  </si>
  <si>
    <t>Samen starten. De bedrijfsontwikkeling van teamstarters vergeleken met die van solostarters</t>
  </si>
  <si>
    <t>Sterftekans na beroerte blijft hoger</t>
  </si>
  <si>
    <t>Drieluik Excellentie - De doorstroom van excellente leerlingen in het primair onderwijs</t>
  </si>
  <si>
    <t>Drieluik Excellentie - De doorstroom van excellente leerlingen in het voortgezet onderwijs</t>
  </si>
  <si>
    <t>Reële EPC. Een methode voor de beoordeling van de energieprestatie van ieuwbouwwoningen in de praktijk</t>
  </si>
  <si>
    <t>Changes in Health Care Expenditure after the Loss of a Spouse: Data on 6,487 Older_x000D_Widows and Widowers in the Netherlands</t>
  </si>
  <si>
    <t>Internationale oriëntatie van bedrijven en baanzekerheid van werknemers, In R. van Gaalen, A. Goudswaard, J. Sanders &amp; W. Smits (red.), Dynamiek op de Nederlandse arbeidsmarkt ( pp 175-184.)</t>
  </si>
  <si>
    <t>The impact of female sex on long-term survival of patients with severe atherosclerosis undergoing endarterectomy</t>
  </si>
  <si>
    <t>Vrijenhoek JE, Haitjema S, de Borst GJ, de Vries JP, Vaartjes I, Moll FL, Pasterkamp G &amp;, den Ruijter HM</t>
  </si>
  <si>
    <t>Onderwijs mogelijk maken. Twee eeuwen invloed van studiefinanciering op de toegankelijkheid van het onderwijs in Nederland (1815-2015)</t>
  </si>
  <si>
    <t>Te veel of te weinig inkomen voor de buurt? Dan een grotere kans om te verhuizen</t>
  </si>
  <si>
    <t>Arbeidsveiligheid van buitenlanders in Nederland. Een analyse van ernstige ongevallen in 2007-2009</t>
  </si>
  <si>
    <t>Grootschalige wijkaanpak is geen verspilling</t>
  </si>
  <si>
    <t>Langdurige werkloosheid. Afwachten en hervormen</t>
  </si>
  <si>
    <t>Conditional survival for long-term colorectal cancer survivors in the Netherlands: who do_x000D_best?</t>
  </si>
  <si>
    <t>Health care utilization of patients with multiple chronic diseases in The Netherlands: Differences and underlying factors</t>
  </si>
  <si>
    <t>Hoek J. van den, L.D. Roorda, H.C. Boshuizen, G.J. Tijhuis &amp;  J. Dekker, G.A. van den Bos &amp; M.T. Nurmohamed_x000D_</t>
  </si>
  <si>
    <t>Armoedemonitor 2014: Lage inkomens in Amsterdam_x000D_</t>
  </si>
  <si>
    <t>Michon Laure, Nienke Nottelman, Clemens Wenneker &amp; Jeroen Slot_x000D_</t>
  </si>
  <si>
    <t>Bekendheid en bereik minimaregelingen_x000D_</t>
  </si>
  <si>
    <t>Dashboard kenrcijfers Amsterdam (jaarlijkse update)_x000D_</t>
  </si>
  <si>
    <t>Huijzer Anne, Myrthe Rijswijk, Laure Michon &amp; Willem Bosveld_x000D_</t>
  </si>
  <si>
    <t>Bicknese, L._x000D_</t>
  </si>
  <si>
    <t>Dataset Economisch Domein_x000D_</t>
  </si>
  <si>
    <t>Fedorova, Tanja_x000D_</t>
  </si>
  <si>
    <t>Jong, Idske de, Maureen B.M. Lankhuizen, Jan Möhlmann &amp; Carine van Oosteren_x000D_</t>
  </si>
  <si>
    <t>Economische verkenningen metropoolregio Amsterdam 2015 (Hoofdstuk 5)_x000D_</t>
  </si>
  <si>
    <t>Monitor Jeugdwerkloosheid Amsterdam over 2014_x000D_</t>
  </si>
  <si>
    <t>Jong, drs. Idske, Anne Huijzer MSc, drs. Carine van Oosteren &amp; drs. Robert Selten_x000D_</t>
  </si>
  <si>
    <t>Staat van de Stad Amsterdam _x000D_</t>
  </si>
  <si>
    <t>Stadsdeelrapportage Armoedemonitor 2015_x000D_</t>
  </si>
  <si>
    <t>Michon Laure, Nienke Nottelman, Clemens Wenneker &amp; Jeroen Slot</t>
  </si>
  <si>
    <t>Jong, Idske de &amp; Carine van Oosteren_x000D_</t>
  </si>
  <si>
    <t>Achtergronddocument bij factsheet jeugdwerkloosheid 2014_x000D_</t>
  </si>
  <si>
    <t>Jaarboek Amsterdam in cijfers (jaarlijks), w.o.: Tabellen over beroepsbevolking in hoofdstuk Werk en inkomen, Tabellen over uitkeringen in hoofdstuk Werk en inkomen,_x000D_
Tabellen over hoogst afgerond opleidingsniveau in hoofdstuk Onderwijs, hoofdstuk Vier eden en hoofdstuk Stadsregio Amsterdam_x000D_ 
-  Tabellen over MBO-leerlingen in hoofdstuk Onderwijs_x000D_</t>
  </si>
  <si>
    <t>Booi, H., E. Lindeman &amp; J. Slot_x000D_</t>
  </si>
  <si>
    <t>Monitor EU-migranten 2013_x000D_</t>
  </si>
  <si>
    <t>Monitor Om het kind - Eenmeting_x000D_</t>
  </si>
  <si>
    <t>Ruiter, Sanne de, Robert Selten &amp; Jeroen Slot_x000D_</t>
  </si>
  <si>
    <t>Booi, Hester &amp; Ellen Lindeman_x000D_</t>
  </si>
  <si>
    <t>Senioren en Langer zelfstandig wonen - Bouwstenen voor de campagne-strategie_x000D_</t>
  </si>
  <si>
    <t>Stadsdeelrapportage Armoedemonitor 2014_x000D_</t>
  </si>
  <si>
    <t>Michon, Laure, Nienke Nottelman, Clemens Wenneker &amp;  Jeroen Slot_x000D_</t>
  </si>
  <si>
    <t>Jong, Idske de, Jolijn Broekhuizen, Anne Huijzer &amp; Jeroen Slot_x000D_</t>
  </si>
  <si>
    <t>Stapeling van regelingen in het sociaal domein_x000D_</t>
  </si>
  <si>
    <t>Taal en ouderbetrokkenheid van ouders van VVE-kinderen - Een kwantitatieve en kwalitatieve analyse</t>
  </si>
  <si>
    <t>Cohen MSc, Lotje,  Anne Huijzer MSc &amp; dr. Esther Jakobs</t>
  </si>
  <si>
    <t>Booi, Hester, Dragana Stojmenovska &amp; Jeroen Slot_x000D_</t>
  </si>
  <si>
    <t>Wonen in de regio, Stadsregio Amsterdam, gemeente Almere, Zuid-Kennemerland/IJmond: een onderzoek naar woonsituatie, woonwensen en verhuisbewegingen van huishoudens</t>
  </si>
  <si>
    <t>Siregar, Sabrina, Rolf H.H. Groenwold, Bas A.J.M. de Mol, Ron G.H. Speekenbrink,_x000D_ Michel I.M. Versteegh, George J. Brandon Bravo Bruinsma, Michiel L. Bots, Yolanda van der Graaf &amp; Lex A. van Herwerden</t>
  </si>
  <si>
    <t>Omission of surgery in elderly patients with early stage breast cancer</t>
  </si>
  <si>
    <t>Tijd voor (na)scholing. Tweede rapportage evaluatie (na)scholing en de Lerarenbeurs voor scholing</t>
  </si>
  <si>
    <t>Education and Health: The Role of Cognitive Ability</t>
  </si>
  <si>
    <t>Creative Professionals and Cultural Ambiance in Urban Agglomerations (forthcoming)</t>
  </si>
  <si>
    <t>A regional comparison of open innovation practices</t>
  </si>
  <si>
    <t>Moving shop: residential and business relocation by the highly educated self-employed</t>
  </si>
  <si>
    <t>Cohortonderzoek COOL5-18 Technisch rapport bij het COOL5-18 bestandenproject voor het voortgezet onderwijs</t>
  </si>
  <si>
    <t>Inkomen, vermogen en dynamiek van zelfstandigen zonder personeel. Verschi llen tussen zelfstandigen zonder personeel en nieuwe zelfstandigen</t>
  </si>
  <si>
    <t>Grote dynamiek in kleinschalig ondernemerschap. De kansen van zzp-schap in het bijzonder voor doelgroepen met afstand tot de arbeidsmarkt</t>
  </si>
  <si>
    <t>Labour productivity and innovation performance: The importance of internal labour flexibility practices</t>
  </si>
  <si>
    <t>Verlof vragen. De behoefte aan en het gebruik van verlofregelingen</t>
  </si>
  <si>
    <t>The association between work stressors and cardiovascular disease, a methodological approach</t>
  </si>
  <si>
    <t>Mobiliteit van Antilliaanse Nederlanders. Een inventariserend onderzoek naar de aard, omvang, oorzaken en consequenties van mobiliteit</t>
  </si>
  <si>
    <t>Comparing ischaemic stroke in six European countries. The EuroHOPE register study</t>
  </si>
  <si>
    <t>Economic Impacts of Cultural Diversity in The Netherlands: Productivity, Utility, and Sorting</t>
  </si>
  <si>
    <t>Möhlmann, J.L._x000D_</t>
  </si>
  <si>
    <t>Globalization and Productivity: Micro-Evidence on Heterogeneous Firms, Workers and Products. Hoofdstuk 5</t>
  </si>
  <si>
    <t>Income effects of a policy change in compensating medical expenses for chronically ill or disabled people in the Netherlands</t>
  </si>
  <si>
    <t>Wet tegemoetkoming chronisch zieken en gehandicapten. Inkomenseffecten van de overgang BU 2008 naar Wtcg 2009</t>
  </si>
  <si>
    <t>The future of health care</t>
  </si>
  <si>
    <t>Ewijk, C. van der Horst, A. &amp; Besseling P._x000D_</t>
  </si>
  <si>
    <t>CPB Policy Brief</t>
  </si>
  <si>
    <t>Wong, A._x000D_</t>
  </si>
  <si>
    <t>Describing, explaining and predicting health care expenditures with statistical methods</t>
  </si>
  <si>
    <t>Vergrijzing: Kosten en baten. In J.H.M. Donders &amp; C.A. de Kam (Eds.), Zorg verzekerd? Naar houdbare financiering voor de gezondheidszorg (pp. 101-123)</t>
  </si>
  <si>
    <t>Mogelijke indicatoren van schoolgewichten. Onderzoek naar de voorspellende waarde</t>
  </si>
  <si>
    <t>Social differences in avoidable mortality between small areas of 15 European cities: an ecological study. Int J Health Geogr 2014</t>
  </si>
  <si>
    <t>Socioeconomic inequalities in mortality in 16 European cities</t>
  </si>
  <si>
    <t>Socioeconomic inequalities in injury mortality in small areas of 15 European cities</t>
  </si>
  <si>
    <t>Ethnic disparities in higher education</t>
  </si>
  <si>
    <t>Studieprestaties van immigranten in het hoger onderwijs. Dynamiek in Statistiek. Nieuwe cijfers over de sociaaleconomische levensloop</t>
  </si>
  <si>
    <t>ABF Arbeidsmarktrapportage. Arbeidsmarktstructuur naar sector en regio</t>
  </si>
  <si>
    <t>Wel positieve gezondheidseffecten maar geen effect op leefbaarheid en veiligheid?</t>
  </si>
  <si>
    <t>Verwachte werkloosheidsduur bij WW-instroom. Toelichting bij geactualiseerd rekenmodel</t>
  </si>
  <si>
    <t>The risk of growing fast_x000D_: Does fast employment growth have a negative impact on the survival rates of firms?</t>
  </si>
  <si>
    <t>Willers, S.M., M.F. Jonker, L. Klok, M. Keuken, J. Odink, W.J. Okkerse, S. vanden _x000D_Elshout, J.P. Mackenbach &amp; A. Burdorf_x000D_</t>
  </si>
  <si>
    <t>Estimating the impact of health-related behaviors on geographic variation in_x000D_cardiovascular mortality; a new approach based on the synthesis of ecological and_x000D_ individual-level data_x000D_</t>
  </si>
  <si>
    <t>The effect of urban green on small-area (healthy) life expectancy</t>
  </si>
  <si>
    <t>Jonker, M.F., F.J. van Lenthe, B. Donkers, P.D. Congdon, A. Burdorf &amp; J.P. Mackenbach</t>
  </si>
  <si>
    <t>Jonker, M.F., F.J. van Lenthe, P.D. Congdon, B. Donkers, A. Burdorf &amp; J.P. Mackenbach</t>
  </si>
  <si>
    <t>Jonker, M.F., P.D. Congdon, F.J. van Lenthe, B. Donkers, A. Burdorf &amp; J.P. Mackenbach</t>
  </si>
  <si>
    <t>Comparison of Bayesian random-effects and traditional life expectancy estimations in small-area applications</t>
  </si>
  <si>
    <t>Circulating total bilirubin and risk of incident cardiovascular disease in the general_x000D_population</t>
  </si>
  <si>
    <t>Interethnic attitudes in urban neighbourhoods: the impact of neighbourhood disorder and decline</t>
  </si>
  <si>
    <t>The victimization-offending relationship from a longitudinal perspective</t>
  </si>
  <si>
    <t>Dader, slachtoffer, of beiden? De samenhang tussen daderschap en slachtofferschap onderzocht</t>
  </si>
  <si>
    <t>Interpretatie van het leerlingrapport 2014. Toelatings- en doorstroomgegevens van leerlingen die in 2010 aan de Eindtoets Basisonderwijs deelnamen</t>
  </si>
  <si>
    <t>Modeling the relationship between health and health care expenditures using a latent Markov model</t>
  </si>
  <si>
    <t>Socioeconomic inequalities in acute myocardial infarction incidence in migrant groups: has the epidemic arrived? Analysis of nation-wide data</t>
  </si>
  <si>
    <t>The relation between socioeconomic status and short-term mortality after acute myocardial infarction persists in the elderly: results from a nationwide study</t>
  </si>
  <si>
    <t>Decreasing Hospital Length of Stay: Effects on Daily Functioning in Older Adults_x000D_</t>
  </si>
  <si>
    <t xml:space="preserve">Van Vliet M, Huisman M. &amp; Deeg D.J.H. </t>
  </si>
  <si>
    <t>The association between depressive symptoms and non-psychiatric hospitalisation in older adults</t>
  </si>
  <si>
    <t>Residential energy use and conservation: Economics and demographics</t>
  </si>
  <si>
    <t>On the economics of energy labels in the housing market_x000D_</t>
  </si>
  <si>
    <t>Government support, innovation and productivity in the Haidian (Beijing) District_x000D_</t>
  </si>
  <si>
    <t>Huang, Can, Yilin Wu, Pierre Mohnen &amp; Yanyun Zhao_x000D_</t>
  </si>
  <si>
    <t>Zhang, Mingqian &amp; Pierre Mohnen_x000D_</t>
  </si>
  <si>
    <t>Innovation and survival of new firms in Chinese manufacturing, 2000-2006</t>
  </si>
  <si>
    <t>The impact of the 2009 value added tax reform on enterprise investment and employment - Empirical analysis based on Chinese tax survey data</t>
  </si>
  <si>
    <t>Bot, Mariska &amp; MSC, Francois Pouwer, PHD, Marij Zuidersma, PHD, Joost P. van Melle, MD, PHD, Peter de Jonge, PHD</t>
  </si>
  <si>
    <t>Arbeidsmigratie in Nederland. De invloed van gender en gezin</t>
  </si>
  <si>
    <t>Is success hereditary? Evidence on the performance of spawned ventures</t>
  </si>
  <si>
    <t>House price risk and the hedging benefits of home ownership_x000D_</t>
  </si>
  <si>
    <t>House Price Uncertainty in the Dutch Owner-Occupied Housing Market_x000D_</t>
  </si>
  <si>
    <t>Vrooman, Cok, Stella Hoff, Ferdy Otten, Wim Bos e.a._x000D_</t>
  </si>
  <si>
    <t>Kunnen meer kinderen meedoen? Veranderingen in de maatschappelijke deelname van kinderen, 2008-2010</t>
  </si>
  <si>
    <t>Healthy Ageing: tackling the burden of disease and disability in an ageing population</t>
  </si>
  <si>
    <t>Obesity, smoking, alcohol consumption and years lived with disability: a Sullivan life table approach</t>
  </si>
  <si>
    <t>Job search requirements for older unemployed: Transitions to employment, early retirement and disability benefits</t>
  </si>
  <si>
    <t>For the PROVIDI Study Group. Incidental Imaging Findings from Routine Chest CT Used to Identify Subjects at High Risk of Future Cardiovascular Events</t>
  </si>
  <si>
    <t>Cardiovascular disease: prediction with ancillary aortic findings on chest CT scans in routine practice</t>
  </si>
  <si>
    <t>PROgnostic Value of unrequested Information in Diagnostic Imaging (PROVIDI) Study: rationale and design</t>
  </si>
  <si>
    <t>Health at a Glance 2011. OECD indicators. Chapter 5, Quality of care</t>
  </si>
  <si>
    <t>Health at a Glance 2009. OECD indicators. Chapter 5, Quality of care</t>
  </si>
  <si>
    <t>Zorgbalans 2008. De prestaties van de Nederlandse gezondheidszorg</t>
  </si>
  <si>
    <t>Trends en ontwikkelingen in de technische installatiebranche 2014. Bedrijvigheid, arbeidsmarkt en beroepsopleiding in de periode tot 2018</t>
  </si>
  <si>
    <t>Seek and Ye shall Find: How Search Requirements Affect Job Finding Rates of Older Workers</t>
  </si>
  <si>
    <t>Hullegie, P. &amp; J.C. van Ours</t>
  </si>
  <si>
    <t>Tuit, S. &amp; J.C. van Ours</t>
  </si>
  <si>
    <t>How Changes in Unemployment Benefit Duration Affect the Inflow into Unemployment</t>
  </si>
  <si>
    <t>How changes in unemployment benefit duration affect the inflow into unemployment</t>
  </si>
  <si>
    <t>Zorgbalans 2014. De prestaties van de Nederlandse gezondheidszorg</t>
  </si>
  <si>
    <t>Quality of care. In: Health at a glance 2013. OECD indicators</t>
  </si>
  <si>
    <t>Explaining spatial homogamy. Composition, spatial and regional cultural determinants of regional patterns of spatial homogamy in the Netherlands</t>
  </si>
  <si>
    <t>Towards personlized treatment in cardiovasculair disease. A molecular-epidemiological approach</t>
  </si>
  <si>
    <t>New technologies, new challenges, what policies? The impact of innovation on European labour markets and corresponding policy implications. In: The competitiveness of firms, regions and industriesin the knowledge-based_x000D_ economy. A Summary of Policy Conclusions</t>
  </si>
  <si>
    <t>Cancer incidence and cause-specific mortality following Balkan deployment</t>
  </si>
  <si>
    <t>Cancer incidence in Dutch Balkan veterans</t>
  </si>
  <si>
    <t>International mobility of students - Its impact on labour market forecasts and its contribution to the Dutch economy</t>
  </si>
  <si>
    <t>ADAM33 genepolymorphisms and mortality. A prospective cohort study</t>
  </si>
  <si>
    <t>Dyspnea severity, changes in dyspnea status and mortality in the general population: the Vlagtwedde/Vlaardingen study</t>
  </si>
  <si>
    <t>Strategies for Knowledge Use in R&amp;D and their Implications for Innovative Performance</t>
  </si>
  <si>
    <t>The Impact of Information Technology Enabled Inter-organizational Relationships on Firm’s Productivity: A Micro-econometric Study</t>
  </si>
  <si>
    <t>De digitale economie 2006: 7.2 Interorganisatorische samenwerkingsverbanden en informatietechnologie van Nederlandse bedrijven</t>
  </si>
  <si>
    <t>Self-reported depressive symptoms, diagnosed clinical depression and cardiac_x000D_ morbidity and mortality after myocardial infarction</t>
  </si>
  <si>
    <t>Zorlu, A. &amp; Hartog, J.</t>
  </si>
  <si>
    <t>Zorlu, A. &amp; R. van Gaalen</t>
  </si>
  <si>
    <t>Hartog J. &amp; A. Zorlu</t>
  </si>
  <si>
    <t>Ooijevaar, J. &amp; A. Zorlu</t>
  </si>
  <si>
    <t>Permentier, M., M. Das &amp; K. Wittebrood</t>
  </si>
  <si>
    <t>Wittebrood, K. &amp; M. Permentier</t>
  </si>
  <si>
    <t>Wittebrood, K., M. Permentier &amp; m.m.v. F. Pinkster</t>
  </si>
  <si>
    <t>Permentier, M., K. Wittebrood, M. Das &amp; G. van Daalen</t>
  </si>
  <si>
    <t>Dun, Ludo van &amp; Wim van der Zanden</t>
  </si>
  <si>
    <t>Groot, S.P.T., S. Akcomak &amp; H.L.F. de Groot</t>
  </si>
  <si>
    <t>Beekmans, J. &amp; P. Beckers</t>
  </si>
  <si>
    <t>Beekmans, J., P. Beckers, E. van der Krabben &amp; K. Martens</t>
  </si>
  <si>
    <t>Beekmans, J., E. van der Krabben &amp; K. Martens</t>
  </si>
  <si>
    <t>Ploegmakers, H. &amp; P. Beckers</t>
  </si>
  <si>
    <t>Kuypers, Fred (CPB), Arjan Lejour (CPB), Oscar Lemmers (CBS) &amp; Pascal Ramaekers (CBS)</t>
  </si>
  <si>
    <t>Kourtit, K.,  Möhlmann, J.,  Nijkamp, P.,  &amp; Rouwendal,  J.</t>
  </si>
  <si>
    <t>Kourtit, K.,  Möhlmann,  J., Nijkamp, P.,  &amp; Rouwendal,  J.</t>
  </si>
  <si>
    <t>Cruz-Cazares, C, AAJ Smits, H. Berends, I.M.M.J. Reymen, P. Anzola, C. Bayona, T. Garcia, M. Schubert &amp; F. Sturm</t>
  </si>
  <si>
    <t>Venhorst, V. A., Koster, S. &amp; Dijk, J. V.</t>
  </si>
  <si>
    <t>Timmermans, A. &amp; Zijsling, D.</t>
  </si>
  <si>
    <t>Kleinknecht, A., van Schaik, F. &amp; Zhou, H.</t>
  </si>
  <si>
    <t>Tempelman, Caren &amp; Caroline Berden, Martin Heekelaar &amp; Lucy Kok</t>
  </si>
  <si>
    <t>Bijwaard, Govert E., Hans van Kippersluis &amp; Justus Veenman</t>
  </si>
  <si>
    <t>Warnier M.J, Rutten FH, de Boer A, Hoes AW, De Bruin ML</t>
  </si>
  <si>
    <t>Bosch, N. &amp; B. ter Weel</t>
  </si>
  <si>
    <t>Euwals, R. &amp; R. de Groot</t>
  </si>
  <si>
    <t>Deelen, A., R. Euwals &amp; I. Specker</t>
  </si>
  <si>
    <t>Deelen, A. &amp; R. Euwals</t>
  </si>
  <si>
    <t>Deelen, A., M. de Graaf-Zijl &amp; W. van den Berge</t>
  </si>
  <si>
    <t>De Kok, J.M.P &amp; T. Span</t>
  </si>
  <si>
    <t>Kleinhans, Reinout, Lex Veldboer, Wenda Doff, Sylvia Jansen &amp; Maarten van Ham</t>
  </si>
  <si>
    <t>Andriessen, I. , E. Nievers &amp; J. Dagevos</t>
  </si>
  <si>
    <t>Korvorst, M., Ben Kriechel &amp; Wendy Smits</t>
  </si>
  <si>
    <t>Braaksma, Rob, Wim Verhoeven, Lia Smit &amp; Tommy Span</t>
  </si>
  <si>
    <t>Plaisier, Inger &amp; Mirjam de Klerk_x000D_</t>
  </si>
  <si>
    <t>Heijden, A. van, Dool, R. van den, Lindert, C. van &amp; Breedveld, K.</t>
  </si>
  <si>
    <t>Michiel Ras, Evert Pommer &amp; Klarita Sadiraj_x000D_</t>
  </si>
  <si>
    <t>Wartna, B.S.J., N. Tollenaar, S. Verweij, M. Timmermans, M. Witvliet &amp; G.H.J. Homburg</t>
  </si>
  <si>
    <t>J. de Boom, P. van Wensveen,  A. L. Roode &amp;  P. A. de Graaf</t>
  </si>
  <si>
    <t>Michiel Ras,  Evert Pommer &amp; Klarita Sadiraj_x000D_</t>
  </si>
  <si>
    <t>Leidelmeijer, Kees, Gerard Marlet, Roderik Ponds, René Schulenberg, Clemens van Woerkens &amp; m.m.v. Maarten van Ham</t>
  </si>
  <si>
    <t>Lemmert M.E., van Mieghem N.M., van Geuns R.J., Diletti R., van Bommel R.J., van Domburg R.T., de Jaegere PP, Regar E, Zijlstra F, Boersma E. &amp; Daemen J.</t>
  </si>
  <si>
    <t>Fam J.M., Ishibashi Y, Felix C, Zhang B.C., Diletti R., van Mieghem N., Regar E, van Domburg R., Onuma Y, &amp; van Geuns R.J.</t>
  </si>
  <si>
    <t xml:space="preserve">Vankan, ir. Arthur, ir. ing. Reg Brennenraedts MBA, dr. Pim den Hertog &amp; ir. Menno Driesse, </t>
  </si>
  <si>
    <t>Tempelman Caren, Sandra Vriend, Lennart Kroon, Gerard Marlet (Atlas voor Gemeenten) &amp; Clemens van Woerkens (Atlas voor gemeenten)</t>
  </si>
  <si>
    <t>Risicojongeren cohortanalyse 2012 en achtergrondanalyse 2014</t>
  </si>
  <si>
    <t>Roode Annemarie &amp; Paul de Graaf</t>
  </si>
  <si>
    <t>Onderzoek en Business Intelligence (OBI)</t>
  </si>
  <si>
    <t>Following Your Job</t>
  </si>
  <si>
    <t>Smit, Martijn</t>
  </si>
  <si>
    <t>Papers in Evolutionary Economic Geography</t>
  </si>
  <si>
    <t>OpleidingsMonitor Flexbranche 2017</t>
  </si>
  <si>
    <t>Wouter de Wit, Hedwig Vermeulen, Pieter Aalders, Joost van der Horst &amp; Annet Jager</t>
  </si>
  <si>
    <t>KBA Nijmegen</t>
  </si>
  <si>
    <t>De relatie tussen de Amsterdamse woningmarkt en het lerarentekort</t>
  </si>
  <si>
    <t>Groot, J. MSc, A. Leemans, MSc, drs. H.J.H. Lubberman &amp; H.J. Rossing, MSc</t>
  </si>
  <si>
    <t>Komst AZC leidt niet tot meer criminaliteit</t>
  </si>
  <si>
    <t>Achbari, W.</t>
  </si>
  <si>
    <t>Reportage wijk verkeek zich op komst opvangcentrum</t>
  </si>
  <si>
    <t>Sectoranalyse onderwijs</t>
  </si>
  <si>
    <t>Lubberman, drs. H.J.H., H.J. Rossing, MSc, A. Leemans, MSC &amp; dr. M.C. Paulussen-Hoogeboom</t>
  </si>
  <si>
    <t>Kennissynthese: Werken in de maatschappelijke ondersteuning in Nederland: nu en in de toekomst</t>
  </si>
  <si>
    <t>Batenburg, Ronald, Mieke Rijken, Simone Versteeg &amp; Elize Vis</t>
  </si>
  <si>
    <t>Cheaper and More Haircuts After VAT Cut? Evidence From the Netherlands</t>
  </si>
  <si>
    <t>Jongen, Egbert, Arjan Lejourz &amp; Gabriella Massenz</t>
  </si>
  <si>
    <t>Goedkoper geknipt, maar niet vaker:de effecten van de btw-verlaging voor kappers</t>
  </si>
  <si>
    <t>Gemeente Amsterdam</t>
  </si>
  <si>
    <t>Diversiteitsmonitor, Vluchtelingenmonitor, Amsterdam in Cijfers, Stadsdelen in Cijfers, Staat van de Stad, Jongeren niet in beeld &amp; Monitor jeugdwerkloosheid</t>
  </si>
  <si>
    <t>Diversiteitsmonitor, Amsterdam in Cijfers, Stadsdelen in Cijfers, Staat van de Stad, Kerncijfers gebieden, emancipatie monitor, armoedemonitor 2015 &amp; armoedemonitor 2016, Jaarboeksmposium, OIS-bijdrage impactstudie Rekenkamer Metropool Amsterdam gebiedsanalyses</t>
  </si>
  <si>
    <t>Nottelman, Nienke &amp; Clemens Wenneker</t>
  </si>
  <si>
    <t>Amsterdam in Cijfers, Stadsdelen in Cijfers, Staat van de Stad, diversiteit in het onderwijs gebiedsanalyses, diversiteitsmonitor, armoede rekenkamer</t>
  </si>
  <si>
    <t>Cohen, Lotje</t>
  </si>
  <si>
    <t>Stapelingsmonitor</t>
  </si>
  <si>
    <t>Jong, de Idske</t>
  </si>
  <si>
    <t>MRA &amp; Kerncijfers gebieden</t>
  </si>
  <si>
    <t>veranderend Noord &amp; artikel Agora</t>
  </si>
  <si>
    <t>Booi, Hester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</si>
</sst>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sz val="10"/>
      <name val="Arial"/>
      <family val="2"/>
    </font>
    <font>
      <sz val="11"/>
      <color rgb="FF00000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2" fillId="0" borderId="0"/>
  </cellStyleXfs>
  <cellXfs count="10">
    <xf numFmtId="0" fontId="0" fillId="0" borderId="0" xfId="0"/>
    <xf numFmtId="0" fontId="1" fillId="0" borderId="0" xfId="0" applyFont="1" applyAlignment="1">
      <alignment vertical="top"/>
    </xf>
    <xf numFmtId="0" fontId="0" fillId="0" borderId="0" xfId="0" applyAlignment="1">
      <alignment vertical="top"/>
    </xf>
    <xf numFmtId="0" fontId="0" fillId="0" borderId="0" xfId="0" applyAlignment="1">
      <alignment vertical="top" wrapText="1"/>
    </xf>
    <xf numFmtId="0" fontId="1" fillId="0" borderId="0" xfId="0" applyFont="1" applyAlignment="1">
      <alignment horizontal="center" vertical="top"/>
    </xf>
    <xf numFmtId="0" fontId="0" fillId="0" borderId="0" xfId="0" applyAlignment="1">
      <alignment horizontal="center" vertical="top"/>
    </xf>
    <xf numFmtId="0" fontId="0" fillId="0" borderId="0" xfId="0" applyAlignment="1">
      <alignment horizontal="center" vertical="top" wrapText="1"/>
    </xf>
    <xf numFmtId="0" fontId="0" fillId="0" borderId="0" xfId="0" applyBorder="1" applyAlignment="1">
      <alignment vertical="top"/>
    </xf>
    <xf numFmtId="0" fontId="0" fillId="0" borderId="0" xfId="0" applyBorder="1" applyAlignment="1">
      <alignment vertical="top" wrapText="1"/>
    </xf>
    <xf numFmtId="0" fontId="3" fillId="0" borderId="0" xfId="0" applyFont="1"/>
  </cellXfs>
  <cellStyles count="2">
    <cellStyle name="Standaard" xfId="0" builtinId="0"/>
    <cellStyle name="Standa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3"/>
  <sheetViews>
    <sheetView tabSelected="1" workbookViewId="0">
      <pane ySplit="1" topLeftCell="A2" activePane="bottomLeft" state="frozen"/>
      <selection activeCell="B1" sqref="B1"/>
      <selection pane="bottomLeft" activeCell="A2" sqref="A2"/>
    </sheetView>
  </sheetViews>
  <sheetFormatPr defaultRowHeight="15" x14ac:dyDescent="0.25"/>
  <cols>
    <col min="1" max="1" width="152.5703125" style="2" customWidth="1"/>
    <col min="2" max="2" width="144.7109375" style="2" customWidth="1"/>
    <col min="3" max="3" width="8.7109375" style="5" bestFit="1" customWidth="1"/>
    <col min="4" max="4" width="46.85546875" style="2" customWidth="1"/>
    <col min="5" max="5" width="15.7109375" style="5" bestFit="1" customWidth="1"/>
    <col min="6" max="16384" width="9.140625" style="2"/>
  </cols>
  <sheetData>
    <row r="1" spans="1:5" x14ac:dyDescent="0.25">
      <c r="A1" s="1" t="s">
        <v>0</v>
      </c>
      <c r="B1" s="1" t="s">
        <v>1</v>
      </c>
      <c r="C1" s="4" t="s">
        <v>2</v>
      </c>
      <c r="D1" s="1" t="s">
        <v>3</v>
      </c>
      <c r="E1" s="4" t="s">
        <v>4</v>
      </c>
    </row>
    <row r="2" spans="1:5" x14ac:dyDescent="0.25">
      <c r="A2" s="2" t="s">
        <v>2142</v>
      </c>
      <c r="B2" s="2" t="s">
        <v>2143</v>
      </c>
      <c r="C2" s="5">
        <v>2017</v>
      </c>
      <c r="D2" s="2" t="s">
        <v>2144</v>
      </c>
      <c r="E2" s="5">
        <v>8128</v>
      </c>
    </row>
    <row r="3" spans="1:5" x14ac:dyDescent="0.25">
      <c r="A3" s="2" t="s">
        <v>1603</v>
      </c>
      <c r="B3" s="2" t="s">
        <v>1604</v>
      </c>
      <c r="C3" s="5">
        <f>VALUE("2017")</f>
        <v>2017</v>
      </c>
      <c r="D3" s="2" t="s">
        <v>1137</v>
      </c>
      <c r="E3" s="5">
        <f>VALUE("8117")</f>
        <v>8117</v>
      </c>
    </row>
    <row r="4" spans="1:5" x14ac:dyDescent="0.25">
      <c r="A4" s="2" t="s">
        <v>2145</v>
      </c>
      <c r="B4" s="2" t="s">
        <v>2146</v>
      </c>
      <c r="C4" s="5">
        <v>2018</v>
      </c>
      <c r="D4" s="2" t="s">
        <v>717</v>
      </c>
      <c r="E4" s="5">
        <v>8115</v>
      </c>
    </row>
    <row r="5" spans="1:5" x14ac:dyDescent="0.25">
      <c r="A5" s="2" t="s">
        <v>2150</v>
      </c>
      <c r="B5" s="2" t="s">
        <v>2151</v>
      </c>
      <c r="C5" s="5">
        <v>2017</v>
      </c>
      <c r="D5" s="2" t="s">
        <v>717</v>
      </c>
      <c r="E5" s="5">
        <v>8042</v>
      </c>
    </row>
    <row r="6" spans="1:5" x14ac:dyDescent="0.25">
      <c r="A6" s="2" t="s">
        <v>1600</v>
      </c>
      <c r="B6" s="2" t="s">
        <v>1601</v>
      </c>
      <c r="C6" s="5">
        <f>VALUE("2017")</f>
        <v>2017</v>
      </c>
      <c r="D6" s="2" t="s">
        <v>1602</v>
      </c>
      <c r="E6" s="5">
        <f>VALUE("8041")</f>
        <v>8041</v>
      </c>
    </row>
    <row r="7" spans="1:5" x14ac:dyDescent="0.25">
      <c r="A7" s="2" t="s">
        <v>1598</v>
      </c>
      <c r="B7" s="2" t="s">
        <v>1599</v>
      </c>
      <c r="C7" s="5">
        <f>VALUE("2017")</f>
        <v>2017</v>
      </c>
      <c r="D7" s="2" t="s">
        <v>1137</v>
      </c>
      <c r="E7" s="5">
        <f>VALUE("8040")</f>
        <v>8040</v>
      </c>
    </row>
    <row r="8" spans="1:5" x14ac:dyDescent="0.25">
      <c r="A8" s="2" t="s">
        <v>1598</v>
      </c>
      <c r="B8" s="2" t="s">
        <v>2135</v>
      </c>
      <c r="C8" s="5">
        <v>2017</v>
      </c>
      <c r="D8" s="2" t="s">
        <v>1137</v>
      </c>
      <c r="E8" s="5">
        <v>8040</v>
      </c>
    </row>
    <row r="9" spans="1:5" x14ac:dyDescent="0.25">
      <c r="A9" s="2" t="s">
        <v>1595</v>
      </c>
      <c r="B9" s="2" t="s">
        <v>1596</v>
      </c>
      <c r="C9" s="5">
        <f>VALUE("2017")</f>
        <v>2017</v>
      </c>
      <c r="D9" s="2" t="s">
        <v>1597</v>
      </c>
      <c r="E9" s="5">
        <f>VALUE("8039")</f>
        <v>8039</v>
      </c>
    </row>
    <row r="10" spans="1:5" x14ac:dyDescent="0.25">
      <c r="A10" s="2" t="s">
        <v>2152</v>
      </c>
      <c r="B10" s="2" t="s">
        <v>2153</v>
      </c>
      <c r="C10" s="5">
        <v>2017</v>
      </c>
      <c r="D10" s="2" t="s">
        <v>657</v>
      </c>
      <c r="E10" s="5">
        <v>8037</v>
      </c>
    </row>
    <row r="11" spans="1:5" x14ac:dyDescent="0.25">
      <c r="A11" s="2" t="s">
        <v>1593</v>
      </c>
      <c r="B11" s="2" t="s">
        <v>1594</v>
      </c>
      <c r="C11" s="5">
        <f>VALUE("2017")</f>
        <v>2017</v>
      </c>
      <c r="D11" s="2" t="s">
        <v>474</v>
      </c>
      <c r="E11" s="5">
        <f>VALUE("8034")</f>
        <v>8034</v>
      </c>
    </row>
    <row r="12" spans="1:5" x14ac:dyDescent="0.25">
      <c r="A12" s="2" t="s">
        <v>1592</v>
      </c>
      <c r="B12" s="3" t="s">
        <v>2134</v>
      </c>
      <c r="C12" s="5">
        <f>VALUE("2017")</f>
        <v>2017</v>
      </c>
      <c r="D12" s="2" t="s">
        <v>1010</v>
      </c>
      <c r="E12" s="5">
        <f>VALUE("8031")</f>
        <v>8031</v>
      </c>
    </row>
    <row r="13" spans="1:5" x14ac:dyDescent="0.25">
      <c r="A13" s="2" t="s">
        <v>1591</v>
      </c>
      <c r="B13" s="2" t="s">
        <v>1913</v>
      </c>
      <c r="C13" s="5">
        <f>VALUE("2017")</f>
        <v>2017</v>
      </c>
      <c r="D13" s="2" t="s">
        <v>1010</v>
      </c>
      <c r="E13" s="5">
        <f>VALUE("8031")</f>
        <v>8031</v>
      </c>
    </row>
    <row r="14" spans="1:5" x14ac:dyDescent="0.25">
      <c r="A14" s="2" t="s">
        <v>1588</v>
      </c>
      <c r="B14" s="2" t="s">
        <v>1589</v>
      </c>
      <c r="C14" s="5">
        <f>VALUE("2017")</f>
        <v>2017</v>
      </c>
      <c r="D14" s="2" t="s">
        <v>1590</v>
      </c>
      <c r="E14" s="5">
        <f>VALUE("8028")</f>
        <v>8028</v>
      </c>
    </row>
    <row r="15" spans="1:5" x14ac:dyDescent="0.25">
      <c r="A15" s="2" t="s">
        <v>1586</v>
      </c>
      <c r="B15" s="2" t="s">
        <v>1587</v>
      </c>
      <c r="C15" s="5">
        <f>VALUE("2017")</f>
        <v>2017</v>
      </c>
      <c r="D15" s="2" t="s">
        <v>474</v>
      </c>
      <c r="E15" s="5">
        <f>VALUE("8027")</f>
        <v>8027</v>
      </c>
    </row>
    <row r="16" spans="1:5" x14ac:dyDescent="0.25">
      <c r="A16" s="2" t="s">
        <v>1585</v>
      </c>
      <c r="B16" s="3" t="s">
        <v>1914</v>
      </c>
      <c r="C16" s="5">
        <f>VALUE("2017")</f>
        <v>2017</v>
      </c>
      <c r="D16" s="2" t="s">
        <v>552</v>
      </c>
      <c r="E16" s="5">
        <f>VALUE("8002")</f>
        <v>8002</v>
      </c>
    </row>
    <row r="17" spans="1:5" x14ac:dyDescent="0.25">
      <c r="A17" s="2" t="s">
        <v>1582</v>
      </c>
      <c r="B17" s="2" t="s">
        <v>1583</v>
      </c>
      <c r="C17" s="5">
        <f>VALUE("2017")</f>
        <v>2017</v>
      </c>
      <c r="D17" s="2" t="s">
        <v>1584</v>
      </c>
      <c r="E17" s="5">
        <f>VALUE("7982")</f>
        <v>7982</v>
      </c>
    </row>
    <row r="18" spans="1:5" x14ac:dyDescent="0.25">
      <c r="A18" s="2" t="s">
        <v>2154</v>
      </c>
      <c r="B18" s="2" t="s">
        <v>2155</v>
      </c>
      <c r="C18" s="5">
        <v>2017</v>
      </c>
      <c r="D18" s="2" t="s">
        <v>203</v>
      </c>
      <c r="E18" s="5">
        <v>7977</v>
      </c>
    </row>
    <row r="19" spans="1:5" x14ac:dyDescent="0.25">
      <c r="A19" s="2" t="s">
        <v>2156</v>
      </c>
      <c r="B19" s="2" t="s">
        <v>2155</v>
      </c>
      <c r="C19" s="5">
        <v>2017</v>
      </c>
      <c r="D19" s="2" t="s">
        <v>203</v>
      </c>
      <c r="E19" s="5">
        <v>7977</v>
      </c>
    </row>
    <row r="20" spans="1:5" x14ac:dyDescent="0.25">
      <c r="A20" s="3" t="s">
        <v>1916</v>
      </c>
      <c r="C20" s="5">
        <f>VALUE("2017")</f>
        <v>2017</v>
      </c>
      <c r="D20" s="2" t="s">
        <v>1915</v>
      </c>
      <c r="E20" s="5">
        <f>VALUE("7944")</f>
        <v>7944</v>
      </c>
    </row>
    <row r="21" spans="1:5" x14ac:dyDescent="0.25">
      <c r="A21" s="2" t="s">
        <v>1580</v>
      </c>
      <c r="B21" s="2" t="s">
        <v>1581</v>
      </c>
      <c r="C21" s="5">
        <v>2016</v>
      </c>
      <c r="D21" s="2" t="s">
        <v>723</v>
      </c>
      <c r="E21" s="5">
        <f>VALUE("7941")</f>
        <v>7941</v>
      </c>
    </row>
    <row r="22" spans="1:5" x14ac:dyDescent="0.25">
      <c r="A22" s="2" t="s">
        <v>1577</v>
      </c>
      <c r="B22" s="2" t="s">
        <v>1578</v>
      </c>
      <c r="C22" s="5">
        <f>VALUE("2017")</f>
        <v>2017</v>
      </c>
      <c r="D22" s="2" t="s">
        <v>1579</v>
      </c>
      <c r="E22" s="5">
        <f>VALUE("7928")</f>
        <v>7928</v>
      </c>
    </row>
    <row r="23" spans="1:5" x14ac:dyDescent="0.25">
      <c r="A23" s="2" t="s">
        <v>2161</v>
      </c>
      <c r="B23" s="2" t="s">
        <v>2162</v>
      </c>
      <c r="C23" s="5">
        <v>2017</v>
      </c>
      <c r="D23" s="2" t="s">
        <v>2157</v>
      </c>
      <c r="E23" s="5">
        <v>7922</v>
      </c>
    </row>
    <row r="24" spans="1:5" ht="30" x14ac:dyDescent="0.25">
      <c r="A24" s="3" t="s">
        <v>2159</v>
      </c>
      <c r="B24" s="2" t="s">
        <v>2160</v>
      </c>
      <c r="C24" s="5">
        <v>2017</v>
      </c>
      <c r="D24" s="2" t="s">
        <v>2157</v>
      </c>
      <c r="E24" s="5">
        <v>7921</v>
      </c>
    </row>
    <row r="25" spans="1:5" x14ac:dyDescent="0.25">
      <c r="A25" s="3" t="s">
        <v>2158</v>
      </c>
      <c r="B25" s="2" t="s">
        <v>2164</v>
      </c>
      <c r="C25" s="5">
        <v>2017</v>
      </c>
      <c r="D25" s="2" t="s">
        <v>2157</v>
      </c>
      <c r="E25" s="5">
        <v>7920</v>
      </c>
    </row>
    <row r="26" spans="1:5" x14ac:dyDescent="0.25">
      <c r="A26" s="2" t="s">
        <v>1574</v>
      </c>
      <c r="B26" s="2" t="s">
        <v>1575</v>
      </c>
      <c r="C26" s="5">
        <f>VALUE("2017")</f>
        <v>2017</v>
      </c>
      <c r="D26" s="2" t="s">
        <v>1576</v>
      </c>
      <c r="E26" s="5">
        <f>VALUE("7919")</f>
        <v>7919</v>
      </c>
    </row>
    <row r="27" spans="1:5" x14ac:dyDescent="0.25">
      <c r="A27" s="2" t="s">
        <v>1571</v>
      </c>
      <c r="B27" s="2" t="s">
        <v>1572</v>
      </c>
      <c r="C27" s="5">
        <f>VALUE("2017")</f>
        <v>2017</v>
      </c>
      <c r="D27" s="2" t="s">
        <v>1573</v>
      </c>
      <c r="E27" s="5">
        <f>VALUE("7906")</f>
        <v>7906</v>
      </c>
    </row>
    <row r="28" spans="1:5" x14ac:dyDescent="0.25">
      <c r="A28" s="3" t="s">
        <v>1917</v>
      </c>
      <c r="B28" s="2" t="s">
        <v>1569</v>
      </c>
      <c r="C28" s="5">
        <f>VALUE("2016")</f>
        <v>2016</v>
      </c>
      <c r="D28" s="2" t="s">
        <v>1570</v>
      </c>
      <c r="E28" s="5">
        <f>VALUE("7901")</f>
        <v>7901</v>
      </c>
    </row>
    <row r="29" spans="1:5" x14ac:dyDescent="0.25">
      <c r="A29" s="2" t="s">
        <v>1566</v>
      </c>
      <c r="B29" s="2" t="s">
        <v>1567</v>
      </c>
      <c r="C29" s="5">
        <v>2015</v>
      </c>
      <c r="D29" s="2" t="s">
        <v>1568</v>
      </c>
      <c r="E29" s="5">
        <f>VALUE("7894")</f>
        <v>7894</v>
      </c>
    </row>
    <row r="30" spans="1:5" x14ac:dyDescent="0.25">
      <c r="A30" s="2" t="s">
        <v>2147</v>
      </c>
      <c r="B30" s="2" t="s">
        <v>2148</v>
      </c>
      <c r="C30" s="5">
        <v>2018</v>
      </c>
      <c r="D30" s="2" t="s">
        <v>1082</v>
      </c>
      <c r="E30" s="5">
        <v>7893</v>
      </c>
    </row>
    <row r="31" spans="1:5" x14ac:dyDescent="0.25">
      <c r="A31" s="2" t="s">
        <v>2149</v>
      </c>
      <c r="B31" s="2" t="s">
        <v>2148</v>
      </c>
      <c r="C31" s="5">
        <v>2018</v>
      </c>
      <c r="D31" s="2" t="s">
        <v>1082</v>
      </c>
      <c r="E31" s="5">
        <v>7893</v>
      </c>
    </row>
    <row r="32" spans="1:5" x14ac:dyDescent="0.25">
      <c r="A32" s="2" t="s">
        <v>1564</v>
      </c>
      <c r="B32" s="2" t="s">
        <v>1565</v>
      </c>
      <c r="C32" s="5">
        <f>VALUE("2016")</f>
        <v>2016</v>
      </c>
      <c r="D32" s="2" t="s">
        <v>1082</v>
      </c>
      <c r="E32" s="5">
        <f>VALUE("7891")</f>
        <v>7891</v>
      </c>
    </row>
    <row r="33" spans="1:5" x14ac:dyDescent="0.25">
      <c r="A33" s="2" t="s">
        <v>1561</v>
      </c>
      <c r="B33" s="2" t="s">
        <v>1562</v>
      </c>
      <c r="C33" s="5">
        <f>VALUE("2016")</f>
        <v>2016</v>
      </c>
      <c r="D33" s="2" t="s">
        <v>1563</v>
      </c>
      <c r="E33" s="5">
        <f>VALUE("7878")</f>
        <v>7878</v>
      </c>
    </row>
    <row r="34" spans="1:5" x14ac:dyDescent="0.25">
      <c r="A34" s="2" t="s">
        <v>1558</v>
      </c>
      <c r="B34" s="2" t="s">
        <v>1559</v>
      </c>
      <c r="C34" s="5">
        <f>VALUE("2016")</f>
        <v>2016</v>
      </c>
      <c r="D34" s="2" t="s">
        <v>1560</v>
      </c>
      <c r="E34" s="5">
        <f>VALUE("7864")</f>
        <v>7864</v>
      </c>
    </row>
    <row r="35" spans="1:5" x14ac:dyDescent="0.25">
      <c r="A35" s="2" t="s">
        <v>1555</v>
      </c>
      <c r="B35" s="2" t="s">
        <v>1556</v>
      </c>
      <c r="C35" s="5">
        <f>VALUE("2017")</f>
        <v>2017</v>
      </c>
      <c r="D35" s="2" t="s">
        <v>1557</v>
      </c>
      <c r="E35" s="5">
        <f>VALUE("7855")</f>
        <v>7855</v>
      </c>
    </row>
    <row r="36" spans="1:5" x14ac:dyDescent="0.25">
      <c r="A36" s="2" t="s">
        <v>1553</v>
      </c>
      <c r="B36" s="2" t="s">
        <v>1554</v>
      </c>
      <c r="C36" s="5">
        <f>VALUE("2017")</f>
        <v>2017</v>
      </c>
      <c r="D36" s="2" t="s">
        <v>1272</v>
      </c>
      <c r="E36" s="5">
        <f>VALUE("7853")</f>
        <v>7853</v>
      </c>
    </row>
    <row r="37" spans="1:5" x14ac:dyDescent="0.25">
      <c r="A37" s="2" t="s">
        <v>1551</v>
      </c>
      <c r="B37" s="2" t="s">
        <v>1552</v>
      </c>
      <c r="C37" s="5">
        <f>VALUE("2016")</f>
        <v>2016</v>
      </c>
      <c r="D37" s="2" t="s">
        <v>1272</v>
      </c>
      <c r="E37" s="5">
        <f>VALUE("7853")</f>
        <v>7853</v>
      </c>
    </row>
    <row r="38" spans="1:5" x14ac:dyDescent="0.25">
      <c r="A38" s="3" t="s">
        <v>1918</v>
      </c>
      <c r="B38" s="2" t="s">
        <v>1550</v>
      </c>
      <c r="C38" s="5">
        <f>VALUE("2016")</f>
        <v>2016</v>
      </c>
      <c r="D38" s="2" t="s">
        <v>717</v>
      </c>
      <c r="E38" s="5">
        <f>VALUE("7852")</f>
        <v>7852</v>
      </c>
    </row>
    <row r="39" spans="1:5" x14ac:dyDescent="0.25">
      <c r="A39" s="2" t="s">
        <v>1547</v>
      </c>
      <c r="B39" s="2" t="s">
        <v>1548</v>
      </c>
      <c r="C39" s="5">
        <f>VALUE("2017")</f>
        <v>2017</v>
      </c>
      <c r="D39" s="2" t="s">
        <v>1549</v>
      </c>
      <c r="E39" s="5">
        <f>VALUE("7847")</f>
        <v>7847</v>
      </c>
    </row>
    <row r="40" spans="1:5" x14ac:dyDescent="0.25">
      <c r="A40" s="2" t="s">
        <v>1545</v>
      </c>
      <c r="B40" s="2" t="s">
        <v>1546</v>
      </c>
      <c r="C40" s="5">
        <f>VALUE("2017")</f>
        <v>2017</v>
      </c>
      <c r="D40" s="2" t="s">
        <v>596</v>
      </c>
      <c r="E40" s="5">
        <f>VALUE("7841")</f>
        <v>7841</v>
      </c>
    </row>
    <row r="41" spans="1:5" x14ac:dyDescent="0.25">
      <c r="A41" s="2" t="s">
        <v>1542</v>
      </c>
      <c r="B41" s="2" t="s">
        <v>1543</v>
      </c>
      <c r="C41" s="5">
        <f>VALUE("2015")</f>
        <v>2015</v>
      </c>
      <c r="D41" s="2" t="s">
        <v>1544</v>
      </c>
      <c r="E41" s="5">
        <f>VALUE("7834")</f>
        <v>7834</v>
      </c>
    </row>
    <row r="42" spans="1:5" x14ac:dyDescent="0.25">
      <c r="A42" s="2" t="s">
        <v>1539</v>
      </c>
      <c r="B42" s="2" t="s">
        <v>1540</v>
      </c>
      <c r="C42" s="5">
        <f>VALUE("2016")</f>
        <v>2016</v>
      </c>
      <c r="D42" s="2" t="s">
        <v>1541</v>
      </c>
      <c r="E42" s="5">
        <f>VALUE("7832")</f>
        <v>7832</v>
      </c>
    </row>
    <row r="43" spans="1:5" x14ac:dyDescent="0.25">
      <c r="A43" s="2" t="s">
        <v>1538</v>
      </c>
      <c r="B43" s="2" t="s">
        <v>1537</v>
      </c>
      <c r="C43" s="5">
        <f>VALUE("2017")</f>
        <v>2017</v>
      </c>
      <c r="D43" s="2" t="s">
        <v>1537</v>
      </c>
      <c r="E43" s="5">
        <f>VALUE("7830")</f>
        <v>7830</v>
      </c>
    </row>
    <row r="44" spans="1:5" x14ac:dyDescent="0.25">
      <c r="A44" s="2" t="s">
        <v>1536</v>
      </c>
      <c r="B44" s="2" t="s">
        <v>1537</v>
      </c>
      <c r="C44" s="5">
        <f>VALUE("2015")</f>
        <v>2015</v>
      </c>
      <c r="D44" s="2" t="s">
        <v>1537</v>
      </c>
      <c r="E44" s="5">
        <f>VALUE("7830")</f>
        <v>7830</v>
      </c>
    </row>
    <row r="45" spans="1:5" x14ac:dyDescent="0.25">
      <c r="A45" s="2" t="s">
        <v>1534</v>
      </c>
      <c r="B45" s="2" t="s">
        <v>1535</v>
      </c>
      <c r="C45" s="5">
        <f>VALUE("2016")</f>
        <v>2016</v>
      </c>
      <c r="D45" s="2" t="s">
        <v>1091</v>
      </c>
      <c r="E45" s="5">
        <f>VALUE("7827")</f>
        <v>7827</v>
      </c>
    </row>
    <row r="46" spans="1:5" x14ac:dyDescent="0.25">
      <c r="A46" s="2" t="s">
        <v>1531</v>
      </c>
      <c r="B46" s="2" t="s">
        <v>1532</v>
      </c>
      <c r="C46" s="5">
        <f>VALUE("2017")</f>
        <v>2017</v>
      </c>
      <c r="D46" s="2" t="s">
        <v>1533</v>
      </c>
      <c r="E46" s="5">
        <f>VALUE("7824")</f>
        <v>7824</v>
      </c>
    </row>
    <row r="47" spans="1:5" x14ac:dyDescent="0.25">
      <c r="A47" s="2" t="s">
        <v>1529</v>
      </c>
      <c r="B47" s="2" t="s">
        <v>1530</v>
      </c>
      <c r="C47" s="5">
        <f>VALUE("2017")</f>
        <v>2017</v>
      </c>
      <c r="D47" s="2" t="s">
        <v>591</v>
      </c>
      <c r="E47" s="5">
        <f>VALUE("7821")</f>
        <v>7821</v>
      </c>
    </row>
    <row r="48" spans="1:5" x14ac:dyDescent="0.25">
      <c r="A48" s="2" t="s">
        <v>1527</v>
      </c>
      <c r="B48" s="2" t="s">
        <v>1528</v>
      </c>
      <c r="C48" s="5">
        <f>VALUE("2016")</f>
        <v>2016</v>
      </c>
      <c r="D48" s="2" t="s">
        <v>657</v>
      </c>
      <c r="E48" s="5">
        <f>VALUE("7816")</f>
        <v>7816</v>
      </c>
    </row>
    <row r="49" spans="1:5" x14ac:dyDescent="0.25">
      <c r="A49" s="2" t="s">
        <v>1525</v>
      </c>
      <c r="B49" s="2" t="s">
        <v>1526</v>
      </c>
      <c r="C49" s="5">
        <f>VALUE("2015")</f>
        <v>2015</v>
      </c>
      <c r="D49" s="2" t="s">
        <v>1137</v>
      </c>
      <c r="E49" s="5">
        <f>VALUE("7814")</f>
        <v>7814</v>
      </c>
    </row>
    <row r="50" spans="1:5" x14ac:dyDescent="0.25">
      <c r="A50" s="2" t="s">
        <v>1523</v>
      </c>
      <c r="B50" s="2" t="s">
        <v>1524</v>
      </c>
      <c r="C50" s="5">
        <f>VALUE("2015")</f>
        <v>2015</v>
      </c>
      <c r="D50" s="2" t="s">
        <v>7</v>
      </c>
      <c r="E50" s="5">
        <f>VALUE("7809")</f>
        <v>7809</v>
      </c>
    </row>
    <row r="51" spans="1:5" x14ac:dyDescent="0.25">
      <c r="A51" s="2" t="s">
        <v>1520</v>
      </c>
      <c r="B51" s="2" t="s">
        <v>1521</v>
      </c>
      <c r="C51" s="5">
        <f>VALUE("2016")</f>
        <v>2016</v>
      </c>
      <c r="D51" s="2" t="s">
        <v>1522</v>
      </c>
      <c r="E51" s="5">
        <f>VALUE("7804")</f>
        <v>7804</v>
      </c>
    </row>
    <row r="52" spans="1:5" x14ac:dyDescent="0.25">
      <c r="A52" s="2" t="s">
        <v>1518</v>
      </c>
      <c r="B52" s="2" t="s">
        <v>1519</v>
      </c>
      <c r="C52" s="5">
        <f>VALUE("2016")</f>
        <v>2016</v>
      </c>
      <c r="D52" s="2" t="s">
        <v>591</v>
      </c>
      <c r="E52" s="5">
        <f>VALUE("7795")</f>
        <v>7795</v>
      </c>
    </row>
    <row r="53" spans="1:5" x14ac:dyDescent="0.25">
      <c r="A53" s="2" t="s">
        <v>1516</v>
      </c>
      <c r="B53" s="2" t="s">
        <v>1517</v>
      </c>
      <c r="C53" s="5">
        <f>VALUE("2015")</f>
        <v>2015</v>
      </c>
      <c r="D53" s="2" t="s">
        <v>723</v>
      </c>
      <c r="E53" s="5">
        <f>VALUE("7787")</f>
        <v>7787</v>
      </c>
    </row>
    <row r="54" spans="1:5" x14ac:dyDescent="0.25">
      <c r="A54" s="2" t="s">
        <v>1513</v>
      </c>
      <c r="B54" s="2" t="s">
        <v>1514</v>
      </c>
      <c r="C54" s="5">
        <f>VALUE("2015")</f>
        <v>2015</v>
      </c>
      <c r="D54" s="2" t="s">
        <v>1515</v>
      </c>
      <c r="E54" s="5">
        <f>VALUE("7785")</f>
        <v>7785</v>
      </c>
    </row>
    <row r="55" spans="1:5" x14ac:dyDescent="0.25">
      <c r="A55" s="2" t="s">
        <v>1509</v>
      </c>
      <c r="B55" s="2" t="s">
        <v>1510</v>
      </c>
      <c r="C55" s="5">
        <f>VALUE("2016")</f>
        <v>2016</v>
      </c>
      <c r="D55" s="2" t="s">
        <v>1511</v>
      </c>
      <c r="E55" s="5">
        <f>VALUE("7782")</f>
        <v>7782</v>
      </c>
    </row>
    <row r="56" spans="1:5" x14ac:dyDescent="0.25">
      <c r="A56" s="2" t="s">
        <v>1509</v>
      </c>
      <c r="B56" s="2" t="s">
        <v>1510</v>
      </c>
      <c r="C56" s="5">
        <f>VALUE("2016")</f>
        <v>2016</v>
      </c>
      <c r="D56" s="2" t="s">
        <v>1512</v>
      </c>
      <c r="E56" s="5">
        <f>VALUE("7782")</f>
        <v>7782</v>
      </c>
    </row>
    <row r="57" spans="1:5" x14ac:dyDescent="0.25">
      <c r="A57" s="2" t="s">
        <v>1507</v>
      </c>
      <c r="B57" s="2" t="s">
        <v>1508</v>
      </c>
      <c r="C57" s="5">
        <v>2015</v>
      </c>
      <c r="D57" s="2" t="s">
        <v>586</v>
      </c>
      <c r="E57" s="5">
        <f>VALUE("7781")</f>
        <v>7781</v>
      </c>
    </row>
    <row r="58" spans="1:5" x14ac:dyDescent="0.25">
      <c r="A58" s="2" t="s">
        <v>1505</v>
      </c>
      <c r="B58" s="2" t="s">
        <v>1506</v>
      </c>
      <c r="C58" s="5">
        <f>VALUE("2016")</f>
        <v>2016</v>
      </c>
      <c r="D58" s="2" t="s">
        <v>925</v>
      </c>
      <c r="E58" s="5">
        <f>VALUE("7773")</f>
        <v>7773</v>
      </c>
    </row>
    <row r="59" spans="1:5" x14ac:dyDescent="0.25">
      <c r="A59" s="2" t="s">
        <v>1503</v>
      </c>
      <c r="B59" s="2" t="s">
        <v>1504</v>
      </c>
      <c r="C59" s="5">
        <f>VALUE("2015")</f>
        <v>2015</v>
      </c>
      <c r="D59" s="2" t="s">
        <v>723</v>
      </c>
      <c r="E59" s="5">
        <f>VALUE("7770")</f>
        <v>7770</v>
      </c>
    </row>
    <row r="60" spans="1:5" x14ac:dyDescent="0.25">
      <c r="A60" s="2" t="s">
        <v>1501</v>
      </c>
      <c r="B60" s="3" t="s">
        <v>1919</v>
      </c>
      <c r="C60" s="5">
        <f>VALUE("2017")</f>
        <v>2017</v>
      </c>
      <c r="D60" s="2" t="s">
        <v>1502</v>
      </c>
      <c r="E60" s="5">
        <f>VALUE("7766")</f>
        <v>7766</v>
      </c>
    </row>
    <row r="61" spans="1:5" x14ac:dyDescent="0.25">
      <c r="A61" s="2" t="s">
        <v>1216</v>
      </c>
      <c r="B61" s="2" t="s">
        <v>1500</v>
      </c>
      <c r="C61" s="5">
        <f>VALUE("2017")</f>
        <v>2017</v>
      </c>
      <c r="D61" s="2" t="s">
        <v>187</v>
      </c>
      <c r="E61" s="5">
        <f>VALUE("7765")</f>
        <v>7765</v>
      </c>
    </row>
    <row r="62" spans="1:5" x14ac:dyDescent="0.25">
      <c r="A62" s="2" t="s">
        <v>1497</v>
      </c>
      <c r="B62" s="2" t="s">
        <v>1498</v>
      </c>
      <c r="C62" s="5">
        <f>VALUE("2015")</f>
        <v>2015</v>
      </c>
      <c r="D62" s="2" t="s">
        <v>1499</v>
      </c>
      <c r="E62" s="5">
        <f>VALUE("7763")</f>
        <v>7763</v>
      </c>
    </row>
    <row r="63" spans="1:5" x14ac:dyDescent="0.25">
      <c r="A63" s="2" t="s">
        <v>1495</v>
      </c>
      <c r="B63" s="2" t="s">
        <v>1496</v>
      </c>
      <c r="C63" s="5">
        <f>VALUE("2015")</f>
        <v>2015</v>
      </c>
      <c r="D63" s="2" t="s">
        <v>1384</v>
      </c>
      <c r="E63" s="5">
        <f>VALUE("7761")</f>
        <v>7761</v>
      </c>
    </row>
    <row r="64" spans="1:5" x14ac:dyDescent="0.25">
      <c r="A64" s="2" t="s">
        <v>1492</v>
      </c>
      <c r="B64" s="2" t="s">
        <v>1493</v>
      </c>
      <c r="C64" s="5">
        <v>2016</v>
      </c>
      <c r="D64" s="2" t="s">
        <v>1494</v>
      </c>
      <c r="E64" s="5">
        <f>VALUE("7755")</f>
        <v>7755</v>
      </c>
    </row>
    <row r="65" spans="1:5" x14ac:dyDescent="0.25">
      <c r="A65" s="2" t="s">
        <v>1490</v>
      </c>
      <c r="B65" s="2" t="s">
        <v>1491</v>
      </c>
      <c r="C65" s="5">
        <f>VALUE("2015")</f>
        <v>2015</v>
      </c>
      <c r="D65" s="2" t="s">
        <v>591</v>
      </c>
      <c r="E65" s="5">
        <f>VALUE("7748")</f>
        <v>7748</v>
      </c>
    </row>
    <row r="66" spans="1:5" x14ac:dyDescent="0.25">
      <c r="A66" s="2" t="s">
        <v>1487</v>
      </c>
      <c r="B66" s="2" t="s">
        <v>1488</v>
      </c>
      <c r="C66" s="5">
        <v>2016</v>
      </c>
      <c r="D66" s="2" t="s">
        <v>1489</v>
      </c>
      <c r="E66" s="5">
        <f>VALUE("7746")</f>
        <v>7746</v>
      </c>
    </row>
    <row r="67" spans="1:5" x14ac:dyDescent="0.25">
      <c r="A67" s="2" t="s">
        <v>1485</v>
      </c>
      <c r="B67" s="2" t="s">
        <v>1486</v>
      </c>
      <c r="C67" s="5">
        <f>VALUE("2015")</f>
        <v>2015</v>
      </c>
      <c r="D67" s="2" t="s">
        <v>723</v>
      </c>
      <c r="E67" s="5">
        <f>VALUE("7743")</f>
        <v>7743</v>
      </c>
    </row>
    <row r="68" spans="1:5" x14ac:dyDescent="0.25">
      <c r="A68" s="2" t="s">
        <v>1920</v>
      </c>
      <c r="B68" s="2" t="s">
        <v>1483</v>
      </c>
      <c r="C68" s="5">
        <f>VALUE("2016")</f>
        <v>2016</v>
      </c>
      <c r="D68" s="2" t="s">
        <v>1484</v>
      </c>
      <c r="E68" s="5">
        <f>VALUE("7738")</f>
        <v>7738</v>
      </c>
    </row>
    <row r="69" spans="1:5" x14ac:dyDescent="0.25">
      <c r="A69" s="2" t="s">
        <v>1480</v>
      </c>
      <c r="B69" s="2" t="s">
        <v>1481</v>
      </c>
      <c r="C69" s="5">
        <v>2017</v>
      </c>
      <c r="D69" s="2" t="s">
        <v>1482</v>
      </c>
      <c r="E69" s="5">
        <f>VALUE("7736")</f>
        <v>7736</v>
      </c>
    </row>
    <row r="70" spans="1:5" x14ac:dyDescent="0.25">
      <c r="A70" s="2" t="s">
        <v>1477</v>
      </c>
      <c r="B70" s="2" t="s">
        <v>1478</v>
      </c>
      <c r="C70" s="5">
        <f>VALUE("2016")</f>
        <v>2016</v>
      </c>
      <c r="D70" s="2" t="s">
        <v>1479</v>
      </c>
      <c r="E70" s="5">
        <f>VALUE("7733")</f>
        <v>7733</v>
      </c>
    </row>
    <row r="71" spans="1:5" x14ac:dyDescent="0.25">
      <c r="A71" s="2" t="s">
        <v>1475</v>
      </c>
      <c r="B71" s="2" t="s">
        <v>1476</v>
      </c>
      <c r="C71" s="5">
        <f>VALUE("2015")</f>
        <v>2015</v>
      </c>
      <c r="D71" s="2" t="s">
        <v>591</v>
      </c>
      <c r="E71" s="5">
        <f>VALUE("7732")</f>
        <v>7732</v>
      </c>
    </row>
    <row r="72" spans="1:5" x14ac:dyDescent="0.25">
      <c r="A72" s="2" t="s">
        <v>1472</v>
      </c>
      <c r="B72" s="2" t="s">
        <v>1473</v>
      </c>
      <c r="C72" s="5">
        <v>2017</v>
      </c>
      <c r="D72" s="2" t="s">
        <v>1474</v>
      </c>
      <c r="E72" s="5">
        <f>VALUE("7731")</f>
        <v>7731</v>
      </c>
    </row>
    <row r="73" spans="1:5" x14ac:dyDescent="0.25">
      <c r="A73" s="2" t="s">
        <v>1471</v>
      </c>
      <c r="B73" s="3" t="s">
        <v>1921</v>
      </c>
      <c r="C73" s="5">
        <f>VALUE("2015")</f>
        <v>2015</v>
      </c>
      <c r="D73" s="2" t="s">
        <v>1010</v>
      </c>
      <c r="E73" s="5">
        <f>VALUE("7731")</f>
        <v>7731</v>
      </c>
    </row>
    <row r="74" spans="1:5" x14ac:dyDescent="0.25">
      <c r="A74" s="2" t="s">
        <v>1468</v>
      </c>
      <c r="B74" s="7" t="s">
        <v>1469</v>
      </c>
      <c r="C74" s="5">
        <f>VALUE("2015")</f>
        <v>2015</v>
      </c>
      <c r="D74" s="2" t="s">
        <v>1470</v>
      </c>
      <c r="E74" s="5">
        <f>VALUE("7730")</f>
        <v>7730</v>
      </c>
    </row>
    <row r="75" spans="1:5" x14ac:dyDescent="0.25">
      <c r="A75" s="2" t="s">
        <v>1466</v>
      </c>
      <c r="B75" s="2" t="s">
        <v>1467</v>
      </c>
      <c r="C75" s="5">
        <f>VALUE("2015")</f>
        <v>2015</v>
      </c>
      <c r="D75" s="2" t="s">
        <v>925</v>
      </c>
      <c r="E75" s="5">
        <f>VALUE("7729")</f>
        <v>7729</v>
      </c>
    </row>
    <row r="76" spans="1:5" x14ac:dyDescent="0.25">
      <c r="A76" s="2" t="s">
        <v>1464</v>
      </c>
      <c r="B76" s="2" t="s">
        <v>1465</v>
      </c>
      <c r="C76" s="5">
        <v>2016</v>
      </c>
      <c r="D76" s="2" t="s">
        <v>1137</v>
      </c>
      <c r="E76" s="5">
        <f>VALUE("7728")</f>
        <v>7728</v>
      </c>
    </row>
    <row r="77" spans="1:5" x14ac:dyDescent="0.25">
      <c r="A77" s="2" t="s">
        <v>1461</v>
      </c>
      <c r="B77" s="2" t="s">
        <v>1462</v>
      </c>
      <c r="C77" s="5">
        <f>VALUE("2015")</f>
        <v>2015</v>
      </c>
      <c r="D77" s="2" t="s">
        <v>1463</v>
      </c>
      <c r="E77" s="5">
        <f>VALUE("7727")</f>
        <v>7727</v>
      </c>
    </row>
    <row r="78" spans="1:5" x14ac:dyDescent="0.25">
      <c r="A78" s="2" t="s">
        <v>1458</v>
      </c>
      <c r="B78" s="2" t="s">
        <v>1459</v>
      </c>
      <c r="C78" s="5">
        <v>2016</v>
      </c>
      <c r="D78" s="2" t="s">
        <v>1460</v>
      </c>
      <c r="E78" s="5">
        <f>VALUE("7720")</f>
        <v>7720</v>
      </c>
    </row>
    <row r="79" spans="1:5" x14ac:dyDescent="0.25">
      <c r="A79" s="2" t="s">
        <v>1456</v>
      </c>
      <c r="B79" s="2" t="s">
        <v>1457</v>
      </c>
      <c r="C79" s="5">
        <f>VALUE("2015")</f>
        <v>2015</v>
      </c>
      <c r="D79" s="2" t="s">
        <v>723</v>
      </c>
      <c r="E79" s="5">
        <f>VALUE("7718")</f>
        <v>7718</v>
      </c>
    </row>
    <row r="80" spans="1:5" x14ac:dyDescent="0.25">
      <c r="A80" s="2" t="s">
        <v>1453</v>
      </c>
      <c r="B80" s="2" t="s">
        <v>1454</v>
      </c>
      <c r="C80" s="5">
        <f>VALUE("2015")</f>
        <v>2015</v>
      </c>
      <c r="D80" s="2" t="s">
        <v>1455</v>
      </c>
      <c r="E80" s="5">
        <f>VALUE("7717")</f>
        <v>7717</v>
      </c>
    </row>
    <row r="81" spans="1:5" x14ac:dyDescent="0.25">
      <c r="A81" s="2" t="s">
        <v>1451</v>
      </c>
      <c r="B81" s="2" t="s">
        <v>1452</v>
      </c>
      <c r="C81" s="5">
        <f>VALUE("2015")</f>
        <v>2015</v>
      </c>
      <c r="D81" s="2" t="s">
        <v>1384</v>
      </c>
      <c r="E81" s="5">
        <f>VALUE("7715")</f>
        <v>7715</v>
      </c>
    </row>
    <row r="82" spans="1:5" x14ac:dyDescent="0.25">
      <c r="A82" s="2" t="s">
        <v>1443</v>
      </c>
      <c r="B82" s="2" t="s">
        <v>2133</v>
      </c>
      <c r="C82" s="5">
        <f>VALUE("2017")</f>
        <v>2017</v>
      </c>
      <c r="D82" s="2" t="s">
        <v>1442</v>
      </c>
      <c r="E82" s="5">
        <f>VALUE("7714")</f>
        <v>7714</v>
      </c>
    </row>
    <row r="83" spans="1:5" x14ac:dyDescent="0.25">
      <c r="A83" s="2" t="s">
        <v>1440</v>
      </c>
      <c r="B83" s="2" t="s">
        <v>1441</v>
      </c>
      <c r="C83" s="5">
        <f>VALUE("2017")</f>
        <v>2017</v>
      </c>
      <c r="D83" s="2" t="s">
        <v>1442</v>
      </c>
      <c r="E83" s="5">
        <f>VALUE("7714")</f>
        <v>7714</v>
      </c>
    </row>
    <row r="84" spans="1:5" x14ac:dyDescent="0.25">
      <c r="A84" s="2" t="s">
        <v>1448</v>
      </c>
      <c r="B84" s="2" t="s">
        <v>1449</v>
      </c>
      <c r="C84" s="5">
        <f>VALUE("2017")</f>
        <v>2017</v>
      </c>
      <c r="D84" s="2" t="s">
        <v>1442</v>
      </c>
      <c r="E84" s="5">
        <f>VALUE("7714")</f>
        <v>7714</v>
      </c>
    </row>
    <row r="85" spans="1:5" x14ac:dyDescent="0.25">
      <c r="A85" s="2" t="s">
        <v>1444</v>
      </c>
      <c r="B85" s="2" t="s">
        <v>1445</v>
      </c>
      <c r="C85" s="5">
        <f>VALUE("2017")</f>
        <v>2017</v>
      </c>
      <c r="D85" s="2" t="s">
        <v>1442</v>
      </c>
      <c r="E85" s="5">
        <f>VALUE("7714")</f>
        <v>7714</v>
      </c>
    </row>
    <row r="86" spans="1:5" x14ac:dyDescent="0.25">
      <c r="A86" s="2" t="s">
        <v>1446</v>
      </c>
      <c r="B86" s="2" t="s">
        <v>1447</v>
      </c>
      <c r="C86" s="5">
        <f>VALUE("2017")</f>
        <v>2017</v>
      </c>
      <c r="D86" s="2" t="s">
        <v>1442</v>
      </c>
      <c r="E86" s="5">
        <f>VALUE("7714")</f>
        <v>7714</v>
      </c>
    </row>
    <row r="87" spans="1:5" x14ac:dyDescent="0.25">
      <c r="A87" s="2" t="s">
        <v>1450</v>
      </c>
      <c r="B87" s="2" t="s">
        <v>2132</v>
      </c>
      <c r="C87" s="5">
        <f>VALUE("2017")</f>
        <v>2017</v>
      </c>
      <c r="D87" s="2" t="s">
        <v>1442</v>
      </c>
      <c r="E87" s="5">
        <f>VALUE("7714")</f>
        <v>7714</v>
      </c>
    </row>
    <row r="88" spans="1:5" x14ac:dyDescent="0.25">
      <c r="A88" s="3" t="s">
        <v>1922</v>
      </c>
      <c r="B88" s="2" t="s">
        <v>1437</v>
      </c>
      <c r="C88" s="5">
        <f>VALUE("2017")</f>
        <v>2017</v>
      </c>
      <c r="D88" s="2" t="s">
        <v>1438</v>
      </c>
      <c r="E88" s="5">
        <f>VALUE("7710")</f>
        <v>7710</v>
      </c>
    </row>
    <row r="89" spans="1:5" x14ac:dyDescent="0.25">
      <c r="A89" s="3" t="s">
        <v>1923</v>
      </c>
      <c r="B89" s="2" t="s">
        <v>1439</v>
      </c>
      <c r="C89" s="5">
        <f>VALUE("2017")</f>
        <v>2017</v>
      </c>
      <c r="D89" s="2" t="s">
        <v>1438</v>
      </c>
      <c r="E89" s="5">
        <f>VALUE("7710")</f>
        <v>7710</v>
      </c>
    </row>
    <row r="90" spans="1:5" x14ac:dyDescent="0.25">
      <c r="A90" s="2" t="s">
        <v>1435</v>
      </c>
      <c r="B90" s="2" t="s">
        <v>1436</v>
      </c>
      <c r="C90" s="5">
        <f>VALUE("2015")</f>
        <v>2015</v>
      </c>
      <c r="D90" s="2" t="s">
        <v>552</v>
      </c>
      <c r="E90" s="5">
        <f>VALUE("7709")</f>
        <v>7709</v>
      </c>
    </row>
    <row r="91" spans="1:5" x14ac:dyDescent="0.25">
      <c r="A91" s="2" t="s">
        <v>1433</v>
      </c>
      <c r="B91" s="2" t="s">
        <v>2131</v>
      </c>
      <c r="C91" s="5">
        <f>VALUE("2015")</f>
        <v>2015</v>
      </c>
      <c r="D91" s="2" t="s">
        <v>1434</v>
      </c>
      <c r="E91" s="5">
        <f>VALUE("7703")</f>
        <v>7703</v>
      </c>
    </row>
    <row r="92" spans="1:5" x14ac:dyDescent="0.25">
      <c r="A92" s="2" t="s">
        <v>1431</v>
      </c>
      <c r="B92" s="2" t="s">
        <v>1432</v>
      </c>
      <c r="C92" s="5">
        <f>VALUE("2016")</f>
        <v>2016</v>
      </c>
      <c r="D92" s="2" t="s">
        <v>591</v>
      </c>
      <c r="E92" s="5">
        <f>VALUE("7693")</f>
        <v>7693</v>
      </c>
    </row>
    <row r="93" spans="1:5" x14ac:dyDescent="0.25">
      <c r="A93" s="2" t="s">
        <v>1430</v>
      </c>
      <c r="B93" s="3" t="s">
        <v>2130</v>
      </c>
      <c r="C93" s="5">
        <f>VALUE("2014")</f>
        <v>2014</v>
      </c>
      <c r="D93" s="2" t="s">
        <v>591</v>
      </c>
      <c r="E93" s="5">
        <f>VALUE("7693")</f>
        <v>7693</v>
      </c>
    </row>
    <row r="94" spans="1:5" x14ac:dyDescent="0.25">
      <c r="A94" s="2" t="s">
        <v>1427</v>
      </c>
      <c r="B94" s="2" t="s">
        <v>1428</v>
      </c>
      <c r="C94" s="5">
        <f>VALUE("2015")</f>
        <v>2015</v>
      </c>
      <c r="D94" s="2" t="s">
        <v>1429</v>
      </c>
      <c r="E94" s="5">
        <f>VALUE("7689")</f>
        <v>7689</v>
      </c>
    </row>
    <row r="95" spans="1:5" x14ac:dyDescent="0.25">
      <c r="A95" s="2" t="s">
        <v>1421</v>
      </c>
      <c r="B95" s="2" t="s">
        <v>1422</v>
      </c>
      <c r="C95" s="5">
        <f>VALUE("2016")</f>
        <v>2016</v>
      </c>
      <c r="D95" s="2" t="s">
        <v>1423</v>
      </c>
      <c r="E95" s="5">
        <f>VALUE("7688")</f>
        <v>7688</v>
      </c>
    </row>
    <row r="96" spans="1:5" x14ac:dyDescent="0.25">
      <c r="A96" s="2" t="s">
        <v>1424</v>
      </c>
      <c r="B96" s="2" t="s">
        <v>1425</v>
      </c>
      <c r="C96" s="5">
        <f>VALUE("2016")</f>
        <v>2016</v>
      </c>
      <c r="D96" s="2" t="s">
        <v>1426</v>
      </c>
      <c r="E96" s="5">
        <f>VALUE("7688")</f>
        <v>7688</v>
      </c>
    </row>
    <row r="97" spans="1:5" x14ac:dyDescent="0.25">
      <c r="A97" s="2" t="s">
        <v>1419</v>
      </c>
      <c r="B97" s="2" t="s">
        <v>1420</v>
      </c>
      <c r="C97" s="5">
        <f>VALUE("2016")</f>
        <v>2016</v>
      </c>
      <c r="D97" s="2" t="s">
        <v>88</v>
      </c>
      <c r="E97" s="5">
        <f>VALUE("7688")</f>
        <v>7688</v>
      </c>
    </row>
    <row r="98" spans="1:5" x14ac:dyDescent="0.25">
      <c r="A98" s="2" t="s">
        <v>1416</v>
      </c>
      <c r="B98" s="2" t="s">
        <v>1417</v>
      </c>
      <c r="C98" s="5">
        <f>VALUE("2016")</f>
        <v>2016</v>
      </c>
      <c r="D98" s="2" t="s">
        <v>1418</v>
      </c>
      <c r="E98" s="5">
        <f>VALUE("7685")</f>
        <v>7685</v>
      </c>
    </row>
    <row r="99" spans="1:5" x14ac:dyDescent="0.25">
      <c r="A99" s="3" t="s">
        <v>1924</v>
      </c>
      <c r="B99" s="2" t="s">
        <v>1414</v>
      </c>
      <c r="C99" s="5">
        <v>2017</v>
      </c>
      <c r="D99" s="2" t="s">
        <v>1415</v>
      </c>
      <c r="E99" s="5">
        <f>VALUE("7682")</f>
        <v>7682</v>
      </c>
    </row>
    <row r="100" spans="1:5" x14ac:dyDescent="0.25">
      <c r="A100" s="2" t="s">
        <v>2136</v>
      </c>
      <c r="B100" s="2" t="s">
        <v>2137</v>
      </c>
      <c r="C100" s="5">
        <v>2016</v>
      </c>
      <c r="D100" s="2" t="s">
        <v>2138</v>
      </c>
      <c r="E100" s="5">
        <v>7682</v>
      </c>
    </row>
    <row r="101" spans="1:5" x14ac:dyDescent="0.25">
      <c r="A101" s="7" t="s">
        <v>1411</v>
      </c>
      <c r="B101" s="2" t="s">
        <v>1412</v>
      </c>
      <c r="C101" s="5">
        <f>VALUE("2016")</f>
        <v>2016</v>
      </c>
      <c r="D101" s="2" t="s">
        <v>1413</v>
      </c>
      <c r="E101" s="5">
        <f>VALUE("7682")</f>
        <v>7682</v>
      </c>
    </row>
    <row r="102" spans="1:5" x14ac:dyDescent="0.25">
      <c r="A102" s="2" t="s">
        <v>1408</v>
      </c>
      <c r="B102" s="2" t="s">
        <v>1409</v>
      </c>
      <c r="C102" s="5">
        <f>VALUE("2015")</f>
        <v>2015</v>
      </c>
      <c r="D102" s="2" t="s">
        <v>1410</v>
      </c>
      <c r="E102" s="5">
        <f>VALUE("7682")</f>
        <v>7682</v>
      </c>
    </row>
    <row r="103" spans="1:5" x14ac:dyDescent="0.25">
      <c r="A103" s="2" t="s">
        <v>2165</v>
      </c>
      <c r="B103" s="2" t="s">
        <v>2164</v>
      </c>
      <c r="C103" s="5">
        <v>2017</v>
      </c>
      <c r="D103" s="2" t="s">
        <v>2157</v>
      </c>
      <c r="E103" s="5">
        <v>7676</v>
      </c>
    </row>
    <row r="104" spans="1:5" x14ac:dyDescent="0.25">
      <c r="A104" s="2" t="s">
        <v>1406</v>
      </c>
      <c r="B104" s="2" t="s">
        <v>1407</v>
      </c>
      <c r="C104" s="5">
        <f>VALUE("2017")</f>
        <v>2017</v>
      </c>
      <c r="D104" s="2" t="s">
        <v>1137</v>
      </c>
      <c r="E104" s="5">
        <f>VALUE("7671")</f>
        <v>7671</v>
      </c>
    </row>
    <row r="105" spans="1:5" x14ac:dyDescent="0.25">
      <c r="A105" s="2" t="s">
        <v>1403</v>
      </c>
      <c r="B105" s="2" t="s">
        <v>1404</v>
      </c>
      <c r="C105" s="5">
        <f>VALUE("2014")</f>
        <v>2014</v>
      </c>
      <c r="D105" s="2" t="s">
        <v>1405</v>
      </c>
      <c r="E105" s="5">
        <f>VALUE("7671")</f>
        <v>7671</v>
      </c>
    </row>
    <row r="106" spans="1:5" x14ac:dyDescent="0.25">
      <c r="A106" s="2" t="s">
        <v>1400</v>
      </c>
      <c r="B106" s="2" t="s">
        <v>1401</v>
      </c>
      <c r="C106" s="5">
        <f>VALUE("2015")</f>
        <v>2015</v>
      </c>
      <c r="D106" s="2" t="s">
        <v>1402</v>
      </c>
      <c r="E106" s="5">
        <f>VALUE("7667")</f>
        <v>7667</v>
      </c>
    </row>
    <row r="107" spans="1:5" x14ac:dyDescent="0.25">
      <c r="A107" s="2" t="s">
        <v>1394</v>
      </c>
      <c r="B107" s="2" t="s">
        <v>1395</v>
      </c>
      <c r="C107" s="5">
        <f>VALUE("2017")</f>
        <v>2017</v>
      </c>
      <c r="D107" s="2" t="s">
        <v>1396</v>
      </c>
      <c r="E107" s="5">
        <f>VALUE("7665")</f>
        <v>7665</v>
      </c>
    </row>
    <row r="108" spans="1:5" x14ac:dyDescent="0.25">
      <c r="A108" s="2" t="s">
        <v>1397</v>
      </c>
      <c r="B108" s="2" t="s">
        <v>1398</v>
      </c>
      <c r="C108" s="5">
        <f>VALUE("2017")</f>
        <v>2017</v>
      </c>
      <c r="D108" s="2" t="s">
        <v>1399</v>
      </c>
      <c r="E108" s="5">
        <f>VALUE("7665")</f>
        <v>7665</v>
      </c>
    </row>
    <row r="109" spans="1:5" x14ac:dyDescent="0.25">
      <c r="A109" s="2" t="s">
        <v>1392</v>
      </c>
      <c r="B109" s="2" t="s">
        <v>2129</v>
      </c>
      <c r="C109" s="5">
        <f>VALUE("2016")</f>
        <v>2016</v>
      </c>
      <c r="D109" s="2" t="s">
        <v>1393</v>
      </c>
      <c r="E109" s="5">
        <f>VALUE("7665")</f>
        <v>7665</v>
      </c>
    </row>
    <row r="110" spans="1:5" x14ac:dyDescent="0.25">
      <c r="A110" s="2" t="s">
        <v>1390</v>
      </c>
      <c r="B110" s="2" t="s">
        <v>1391</v>
      </c>
      <c r="C110" s="5">
        <f>VALUE("2014")</f>
        <v>2014</v>
      </c>
      <c r="D110" s="2" t="s">
        <v>591</v>
      </c>
      <c r="E110" s="5">
        <f>VALUE("7662")</f>
        <v>7662</v>
      </c>
    </row>
    <row r="111" spans="1:5" x14ac:dyDescent="0.25">
      <c r="A111" s="2" t="s">
        <v>1385</v>
      </c>
      <c r="B111" s="2" t="s">
        <v>1386</v>
      </c>
      <c r="C111" s="5">
        <f>VALUE("2015")</f>
        <v>2015</v>
      </c>
      <c r="D111" s="2" t="s">
        <v>1387</v>
      </c>
      <c r="E111" s="5">
        <f>VALUE("7658")</f>
        <v>7658</v>
      </c>
    </row>
    <row r="112" spans="1:5" x14ac:dyDescent="0.25">
      <c r="A112" s="2" t="s">
        <v>1388</v>
      </c>
      <c r="B112" s="2" t="s">
        <v>1389</v>
      </c>
      <c r="C112" s="5">
        <f>VALUE("2015")</f>
        <v>2015</v>
      </c>
      <c r="D112" s="2" t="s">
        <v>1387</v>
      </c>
      <c r="E112" s="5">
        <f>VALUE("7658")</f>
        <v>7658</v>
      </c>
    </row>
    <row r="113" spans="1:5" x14ac:dyDescent="0.25">
      <c r="A113" s="2" t="s">
        <v>1382</v>
      </c>
      <c r="B113" s="2" t="s">
        <v>1383</v>
      </c>
      <c r="C113" s="5">
        <f>VALUE("2014")</f>
        <v>2014</v>
      </c>
      <c r="D113" s="2" t="s">
        <v>1384</v>
      </c>
      <c r="E113" s="5">
        <f>VALUE("7656")</f>
        <v>7656</v>
      </c>
    </row>
    <row r="114" spans="1:5" x14ac:dyDescent="0.25">
      <c r="A114" s="2" t="s">
        <v>1379</v>
      </c>
      <c r="B114" s="2" t="s">
        <v>1380</v>
      </c>
      <c r="C114" s="5">
        <f>VALUE("2014")</f>
        <v>2014</v>
      </c>
      <c r="D114" s="2" t="s">
        <v>1381</v>
      </c>
      <c r="E114" s="5">
        <f>VALUE("7653")</f>
        <v>7653</v>
      </c>
    </row>
    <row r="115" spans="1:5" x14ac:dyDescent="0.25">
      <c r="A115" s="2" t="s">
        <v>1377</v>
      </c>
      <c r="B115" s="2" t="s">
        <v>1378</v>
      </c>
      <c r="C115" s="5">
        <f>VALUE("2014")</f>
        <v>2014</v>
      </c>
      <c r="D115" s="2" t="s">
        <v>1091</v>
      </c>
      <c r="E115" s="5">
        <f>VALUE("7651")</f>
        <v>7651</v>
      </c>
    </row>
    <row r="116" spans="1:5" x14ac:dyDescent="0.25">
      <c r="A116" s="2" t="s">
        <v>1375</v>
      </c>
      <c r="B116" s="2" t="s">
        <v>1376</v>
      </c>
      <c r="C116" s="5">
        <f>VALUE("2014")</f>
        <v>2014</v>
      </c>
      <c r="D116" s="2" t="s">
        <v>1137</v>
      </c>
      <c r="E116" s="5">
        <f>VALUE("7645")</f>
        <v>7645</v>
      </c>
    </row>
    <row r="117" spans="1:5" x14ac:dyDescent="0.25">
      <c r="A117" s="3" t="s">
        <v>1925</v>
      </c>
      <c r="B117" s="2" t="s">
        <v>1373</v>
      </c>
      <c r="C117" s="5">
        <f>VALUE("2015")</f>
        <v>2015</v>
      </c>
      <c r="D117" s="2" t="s">
        <v>1374</v>
      </c>
      <c r="E117" s="5">
        <f>VALUE("7643")</f>
        <v>7643</v>
      </c>
    </row>
    <row r="118" spans="1:5" x14ac:dyDescent="0.25">
      <c r="A118" s="2" t="s">
        <v>1371</v>
      </c>
      <c r="B118" s="2" t="s">
        <v>1372</v>
      </c>
      <c r="C118" s="5">
        <f>VALUE("2017")</f>
        <v>2017</v>
      </c>
      <c r="E118" s="5">
        <f>VALUE("7641")</f>
        <v>7641</v>
      </c>
    </row>
    <row r="119" spans="1:5" x14ac:dyDescent="0.25">
      <c r="A119" s="2" t="s">
        <v>1367</v>
      </c>
      <c r="B119" s="2" t="s">
        <v>1368</v>
      </c>
      <c r="C119" s="5">
        <f>VALUE("2016")</f>
        <v>2016</v>
      </c>
      <c r="D119" s="2" t="s">
        <v>1082</v>
      </c>
      <c r="E119" s="5">
        <f>VALUE("7641")</f>
        <v>7641</v>
      </c>
    </row>
    <row r="120" spans="1:5" x14ac:dyDescent="0.25">
      <c r="A120" s="2" t="s">
        <v>1369</v>
      </c>
      <c r="B120" s="2" t="s">
        <v>1370</v>
      </c>
      <c r="C120" s="5">
        <f>VALUE("2015")</f>
        <v>2015</v>
      </c>
      <c r="D120" s="2" t="s">
        <v>1082</v>
      </c>
      <c r="E120" s="5">
        <f>VALUE("7641")</f>
        <v>7641</v>
      </c>
    </row>
    <row r="121" spans="1:5" x14ac:dyDescent="0.25">
      <c r="A121" s="2" t="s">
        <v>1365</v>
      </c>
      <c r="B121" s="2" t="s">
        <v>1366</v>
      </c>
      <c r="C121" s="5">
        <f>VALUE("2015")</f>
        <v>2015</v>
      </c>
      <c r="D121" s="2" t="s">
        <v>1094</v>
      </c>
      <c r="E121" s="5">
        <f>VALUE("7640")</f>
        <v>7640</v>
      </c>
    </row>
    <row r="122" spans="1:5" x14ac:dyDescent="0.25">
      <c r="A122" s="2" t="s">
        <v>1363</v>
      </c>
      <c r="B122" s="2" t="s">
        <v>1364</v>
      </c>
      <c r="C122" s="5">
        <f>VALUE("2014")</f>
        <v>2014</v>
      </c>
      <c r="D122" s="2" t="s">
        <v>591</v>
      </c>
      <c r="E122" s="5">
        <f>VALUE("7639")</f>
        <v>7639</v>
      </c>
    </row>
    <row r="123" spans="1:5" x14ac:dyDescent="0.25">
      <c r="A123" s="2" t="s">
        <v>1361</v>
      </c>
      <c r="B123" s="2" t="s">
        <v>1362</v>
      </c>
      <c r="C123" s="5">
        <f>VALUE("2014")</f>
        <v>2014</v>
      </c>
      <c r="D123" s="2" t="s">
        <v>591</v>
      </c>
      <c r="E123" s="5">
        <f>VALUE("7639")</f>
        <v>7639</v>
      </c>
    </row>
    <row r="124" spans="1:5" x14ac:dyDescent="0.25">
      <c r="A124" s="2" t="s">
        <v>1358</v>
      </c>
      <c r="B124" s="2" t="s">
        <v>1359</v>
      </c>
      <c r="C124" s="5">
        <f>VALUE("2015")</f>
        <v>2015</v>
      </c>
      <c r="D124" s="2" t="s">
        <v>1360</v>
      </c>
      <c r="E124" s="5">
        <f>VALUE("7638")</f>
        <v>7638</v>
      </c>
    </row>
    <row r="125" spans="1:5" x14ac:dyDescent="0.25">
      <c r="A125" s="2" t="s">
        <v>1356</v>
      </c>
      <c r="B125" s="2" t="s">
        <v>1357</v>
      </c>
      <c r="C125" s="5">
        <f>VALUE("2015")</f>
        <v>2015</v>
      </c>
      <c r="D125" s="2" t="s">
        <v>1357</v>
      </c>
      <c r="E125" s="5">
        <f>VALUE("7637")</f>
        <v>7637</v>
      </c>
    </row>
    <row r="126" spans="1:5" x14ac:dyDescent="0.25">
      <c r="A126" s="2" t="s">
        <v>1354</v>
      </c>
      <c r="B126" s="2" t="s">
        <v>1355</v>
      </c>
      <c r="C126" s="5">
        <f>VALUE("2014")</f>
        <v>2014</v>
      </c>
      <c r="D126" s="2" t="s">
        <v>723</v>
      </c>
      <c r="E126" s="5">
        <f>VALUE("7636")</f>
        <v>7636</v>
      </c>
    </row>
    <row r="127" spans="1:5" x14ac:dyDescent="0.25">
      <c r="A127" s="2" t="s">
        <v>1351</v>
      </c>
      <c r="B127" s="2" t="s">
        <v>1352</v>
      </c>
      <c r="C127" s="5">
        <f>VALUE("2014")</f>
        <v>2014</v>
      </c>
      <c r="D127" s="2" t="s">
        <v>1353</v>
      </c>
      <c r="E127" s="5">
        <f>VALUE("7633")</f>
        <v>7633</v>
      </c>
    </row>
    <row r="128" spans="1:5" x14ac:dyDescent="0.25">
      <c r="A128" s="2" t="s">
        <v>1349</v>
      </c>
      <c r="B128" s="2" t="s">
        <v>1350</v>
      </c>
      <c r="C128" s="5">
        <f>VALUE("2014")</f>
        <v>2014</v>
      </c>
      <c r="D128" s="2" t="s">
        <v>723</v>
      </c>
      <c r="E128" s="5">
        <f>VALUE("7631")</f>
        <v>7631</v>
      </c>
    </row>
    <row r="129" spans="1:5" x14ac:dyDescent="0.25">
      <c r="A129" s="2" t="s">
        <v>1347</v>
      </c>
      <c r="B129" s="2" t="s">
        <v>2128</v>
      </c>
      <c r="C129" s="5">
        <f>VALUE("2014")</f>
        <v>2014</v>
      </c>
      <c r="D129" s="2" t="s">
        <v>1348</v>
      </c>
      <c r="E129" s="5">
        <f>VALUE("7630")</f>
        <v>7630</v>
      </c>
    </row>
    <row r="130" spans="1:5" x14ac:dyDescent="0.25">
      <c r="A130" s="2" t="s">
        <v>1345</v>
      </c>
      <c r="B130" s="2" t="s">
        <v>1346</v>
      </c>
      <c r="C130" s="5">
        <f>VALUE("2014")</f>
        <v>2014</v>
      </c>
      <c r="D130" s="2" t="s">
        <v>723</v>
      </c>
      <c r="E130" s="5">
        <f>VALUE("7625")</f>
        <v>7625</v>
      </c>
    </row>
    <row r="131" spans="1:5" x14ac:dyDescent="0.25">
      <c r="A131" s="2" t="s">
        <v>1342</v>
      </c>
      <c r="B131" s="2" t="s">
        <v>1343</v>
      </c>
      <c r="C131" s="5">
        <f>VALUE("2015")</f>
        <v>2015</v>
      </c>
      <c r="D131" s="2" t="s">
        <v>1344</v>
      </c>
      <c r="E131" s="5">
        <f>VALUE("7623")</f>
        <v>7623</v>
      </c>
    </row>
    <row r="132" spans="1:5" x14ac:dyDescent="0.25">
      <c r="A132" s="2" t="s">
        <v>1339</v>
      </c>
      <c r="B132" s="2" t="s">
        <v>1340</v>
      </c>
      <c r="C132" s="5">
        <f>VALUE("2015")</f>
        <v>2015</v>
      </c>
      <c r="D132" s="2" t="s">
        <v>591</v>
      </c>
      <c r="E132" s="5">
        <f>VALUE("7622")</f>
        <v>7622</v>
      </c>
    </row>
    <row r="133" spans="1:5" x14ac:dyDescent="0.25">
      <c r="A133" s="3" t="s">
        <v>1926</v>
      </c>
      <c r="B133" s="2" t="s">
        <v>1341</v>
      </c>
      <c r="C133" s="5">
        <f>VALUE("2015")</f>
        <v>2015</v>
      </c>
      <c r="D133" s="2" t="s">
        <v>173</v>
      </c>
      <c r="E133" s="5">
        <f>VALUE("7622")</f>
        <v>7622</v>
      </c>
    </row>
    <row r="134" spans="1:5" x14ac:dyDescent="0.25">
      <c r="A134" s="2" t="s">
        <v>1336</v>
      </c>
      <c r="B134" s="2" t="s">
        <v>1337</v>
      </c>
      <c r="C134" s="5">
        <v>2016</v>
      </c>
      <c r="D134" s="2" t="s">
        <v>1338</v>
      </c>
      <c r="E134" s="5">
        <f>VALUE("7621")</f>
        <v>7621</v>
      </c>
    </row>
    <row r="135" spans="1:5" x14ac:dyDescent="0.25">
      <c r="A135" s="2" t="s">
        <v>1328</v>
      </c>
      <c r="B135" s="2" t="s">
        <v>1329</v>
      </c>
      <c r="C135" s="5">
        <f>VALUE("2015")</f>
        <v>2015</v>
      </c>
      <c r="D135" s="2" t="s">
        <v>1330</v>
      </c>
      <c r="E135" s="5">
        <f>VALUE("7621")</f>
        <v>7621</v>
      </c>
    </row>
    <row r="136" spans="1:5" x14ac:dyDescent="0.25">
      <c r="A136" s="2" t="s">
        <v>1331</v>
      </c>
      <c r="B136" s="2" t="s">
        <v>1332</v>
      </c>
      <c r="C136" s="5">
        <f>VALUE("2015")</f>
        <v>2015</v>
      </c>
      <c r="D136" s="2" t="s">
        <v>1333</v>
      </c>
      <c r="E136" s="5">
        <f>VALUE("7621")</f>
        <v>7621</v>
      </c>
    </row>
    <row r="137" spans="1:5" x14ac:dyDescent="0.25">
      <c r="A137" s="2" t="s">
        <v>1334</v>
      </c>
      <c r="B137" s="2" t="s">
        <v>1332</v>
      </c>
      <c r="C137" s="5">
        <f>VALUE("2015")</f>
        <v>2015</v>
      </c>
      <c r="D137" s="2" t="s">
        <v>1335</v>
      </c>
      <c r="E137" s="5">
        <f>VALUE("7621")</f>
        <v>7621</v>
      </c>
    </row>
    <row r="138" spans="1:5" x14ac:dyDescent="0.25">
      <c r="A138" s="2" t="s">
        <v>1107</v>
      </c>
      <c r="B138" s="2" t="s">
        <v>1108</v>
      </c>
      <c r="C138" s="5">
        <f>VALUE("2015")</f>
        <v>2015</v>
      </c>
      <c r="D138" s="2" t="s">
        <v>1109</v>
      </c>
      <c r="E138" s="5">
        <f>VALUE("7619")</f>
        <v>7619</v>
      </c>
    </row>
    <row r="139" spans="1:5" x14ac:dyDescent="0.25">
      <c r="A139" s="2" t="s">
        <v>1326</v>
      </c>
      <c r="B139" s="2" t="s">
        <v>1327</v>
      </c>
      <c r="C139" s="5">
        <v>2014</v>
      </c>
      <c r="D139" s="2" t="s">
        <v>222</v>
      </c>
      <c r="E139" s="5">
        <f>VALUE("7612")</f>
        <v>7612</v>
      </c>
    </row>
    <row r="140" spans="1:5" x14ac:dyDescent="0.25">
      <c r="A140" s="2" t="s">
        <v>1323</v>
      </c>
      <c r="B140" s="2" t="s">
        <v>1324</v>
      </c>
      <c r="C140" s="5">
        <f>VALUE("2015")</f>
        <v>2015</v>
      </c>
      <c r="D140" s="2" t="s">
        <v>1325</v>
      </c>
      <c r="E140" s="5">
        <f>VALUE("7610")</f>
        <v>7610</v>
      </c>
    </row>
    <row r="141" spans="1:5" x14ac:dyDescent="0.25">
      <c r="A141" s="2" t="s">
        <v>2163</v>
      </c>
      <c r="B141" s="2" t="s">
        <v>2164</v>
      </c>
      <c r="C141" s="5">
        <v>2017</v>
      </c>
      <c r="D141" s="2" t="s">
        <v>2157</v>
      </c>
      <c r="E141" s="5">
        <v>7607</v>
      </c>
    </row>
    <row r="142" spans="1:5" x14ac:dyDescent="0.25">
      <c r="A142" s="2" t="s">
        <v>1320</v>
      </c>
      <c r="B142" s="2" t="s">
        <v>1321</v>
      </c>
      <c r="C142" s="5">
        <v>2016</v>
      </c>
      <c r="D142" s="2" t="s">
        <v>1322</v>
      </c>
      <c r="E142" s="5">
        <f>VALUE("7607")</f>
        <v>7607</v>
      </c>
    </row>
    <row r="143" spans="1:5" x14ac:dyDescent="0.25">
      <c r="A143" s="2" t="s">
        <v>1318</v>
      </c>
      <c r="B143" s="2" t="s">
        <v>1319</v>
      </c>
      <c r="C143" s="5">
        <f>VALUE("2015")</f>
        <v>2015</v>
      </c>
      <c r="D143" s="2" t="s">
        <v>591</v>
      </c>
      <c r="E143" s="5">
        <f>VALUE("7605")</f>
        <v>7605</v>
      </c>
    </row>
    <row r="144" spans="1:5" x14ac:dyDescent="0.25">
      <c r="A144" s="2" t="s">
        <v>1306</v>
      </c>
      <c r="B144" s="2" t="s">
        <v>1307</v>
      </c>
      <c r="C144" s="5">
        <f>VALUE("2015")</f>
        <v>2015</v>
      </c>
      <c r="D144" s="2" t="s">
        <v>1307</v>
      </c>
      <c r="E144" s="5">
        <f>VALUE("7599")</f>
        <v>7599</v>
      </c>
    </row>
    <row r="145" spans="1:5" x14ac:dyDescent="0.25">
      <c r="A145" s="2" t="s">
        <v>1312</v>
      </c>
      <c r="B145" s="2" t="s">
        <v>1317</v>
      </c>
      <c r="C145" s="5">
        <f>VALUE("2015")</f>
        <v>2015</v>
      </c>
      <c r="D145" s="2" t="s">
        <v>1313</v>
      </c>
      <c r="E145" s="5">
        <f>VALUE("7599")</f>
        <v>7599</v>
      </c>
    </row>
    <row r="146" spans="1:5" x14ac:dyDescent="0.25">
      <c r="A146" s="2" t="s">
        <v>1316</v>
      </c>
      <c r="B146" s="2" t="s">
        <v>1317</v>
      </c>
      <c r="C146" s="5">
        <f>VALUE("2015")</f>
        <v>2015</v>
      </c>
      <c r="D146" s="2" t="s">
        <v>1307</v>
      </c>
      <c r="E146" s="5">
        <f>VALUE("7599")</f>
        <v>7599</v>
      </c>
    </row>
    <row r="147" spans="1:5" x14ac:dyDescent="0.25">
      <c r="A147" s="2" t="s">
        <v>1308</v>
      </c>
      <c r="B147" s="2" t="s">
        <v>1307</v>
      </c>
      <c r="C147" s="5">
        <f>VALUE("2015")</f>
        <v>2015</v>
      </c>
      <c r="D147" s="2" t="s">
        <v>1307</v>
      </c>
      <c r="E147" s="5">
        <f>VALUE("7599")</f>
        <v>7599</v>
      </c>
    </row>
    <row r="148" spans="1:5" x14ac:dyDescent="0.25">
      <c r="A148" s="2" t="s">
        <v>1309</v>
      </c>
      <c r="B148" s="2" t="s">
        <v>1310</v>
      </c>
      <c r="C148" s="5">
        <f>VALUE("2015")</f>
        <v>2015</v>
      </c>
      <c r="D148" s="2" t="s">
        <v>1311</v>
      </c>
      <c r="E148" s="5">
        <f>VALUE("7599")</f>
        <v>7599</v>
      </c>
    </row>
    <row r="149" spans="1:5" x14ac:dyDescent="0.25">
      <c r="A149" s="2" t="s">
        <v>1315</v>
      </c>
      <c r="B149" s="2" t="s">
        <v>1317</v>
      </c>
      <c r="C149" s="5">
        <f>VALUE("2015")</f>
        <v>2015</v>
      </c>
      <c r="D149" s="2" t="s">
        <v>1307</v>
      </c>
      <c r="E149" s="5">
        <f>VALUE("7599")</f>
        <v>7599</v>
      </c>
    </row>
    <row r="150" spans="1:5" x14ac:dyDescent="0.25">
      <c r="A150" s="2" t="s">
        <v>1314</v>
      </c>
      <c r="B150" s="2" t="s">
        <v>1317</v>
      </c>
      <c r="C150" s="5">
        <f>VALUE("2015")</f>
        <v>2015</v>
      </c>
      <c r="D150" s="2" t="s">
        <v>1307</v>
      </c>
      <c r="E150" s="5">
        <f>VALUE("7599")</f>
        <v>7599</v>
      </c>
    </row>
    <row r="151" spans="1:5" x14ac:dyDescent="0.25">
      <c r="A151" s="2" t="s">
        <v>1303</v>
      </c>
      <c r="B151" s="2" t="s">
        <v>1304</v>
      </c>
      <c r="C151" s="5">
        <f>VALUE("2014")</f>
        <v>2014</v>
      </c>
      <c r="D151" s="2" t="s">
        <v>1305</v>
      </c>
      <c r="E151" s="5">
        <f>VALUE("7598")</f>
        <v>7598</v>
      </c>
    </row>
    <row r="152" spans="1:5" x14ac:dyDescent="0.25">
      <c r="A152" s="2" t="s">
        <v>1300</v>
      </c>
      <c r="B152" s="2" t="s">
        <v>1301</v>
      </c>
      <c r="C152" s="5">
        <f>VALUE("2014")</f>
        <v>2014</v>
      </c>
      <c r="D152" s="2" t="s">
        <v>1302</v>
      </c>
      <c r="E152" s="5">
        <f>VALUE("7597")</f>
        <v>7597</v>
      </c>
    </row>
    <row r="153" spans="1:5" x14ac:dyDescent="0.25">
      <c r="A153" s="2" t="s">
        <v>1298</v>
      </c>
      <c r="B153" s="2" t="s">
        <v>1299</v>
      </c>
      <c r="C153" s="5">
        <f>VALUE("2016")</f>
        <v>2016</v>
      </c>
      <c r="D153" s="2" t="s">
        <v>222</v>
      </c>
      <c r="E153" s="5">
        <f>VALUE("7596")</f>
        <v>7596</v>
      </c>
    </row>
    <row r="154" spans="1:5" x14ac:dyDescent="0.25">
      <c r="A154" s="2" t="s">
        <v>1295</v>
      </c>
      <c r="B154" s="2" t="s">
        <v>1296</v>
      </c>
      <c r="C154" s="5">
        <v>2017</v>
      </c>
      <c r="D154" s="2" t="s">
        <v>1297</v>
      </c>
      <c r="E154" s="5">
        <f>VALUE("7594")</f>
        <v>7594</v>
      </c>
    </row>
    <row r="155" spans="1:5" x14ac:dyDescent="0.25">
      <c r="A155" s="2" t="s">
        <v>1291</v>
      </c>
      <c r="B155" s="2" t="s">
        <v>1292</v>
      </c>
      <c r="C155" s="5">
        <f>VALUE("2016")</f>
        <v>2016</v>
      </c>
      <c r="D155" s="2" t="s">
        <v>1026</v>
      </c>
      <c r="E155" s="5">
        <f>VALUE("7594")</f>
        <v>7594</v>
      </c>
    </row>
    <row r="156" spans="1:5" x14ac:dyDescent="0.25">
      <c r="A156" s="2" t="s">
        <v>1293</v>
      </c>
      <c r="B156" s="2" t="s">
        <v>1292</v>
      </c>
      <c r="C156" s="5">
        <f>VALUE("2016")</f>
        <v>2016</v>
      </c>
      <c r="D156" s="2" t="s">
        <v>1294</v>
      </c>
      <c r="E156" s="5">
        <f>VALUE("7594")</f>
        <v>7594</v>
      </c>
    </row>
    <row r="157" spans="1:5" x14ac:dyDescent="0.25">
      <c r="A157" s="2" t="s">
        <v>1289</v>
      </c>
      <c r="B157" s="2" t="s">
        <v>1290</v>
      </c>
      <c r="C157" s="5">
        <v>2014</v>
      </c>
      <c r="D157" s="2" t="s">
        <v>203</v>
      </c>
      <c r="E157" s="5">
        <f>VALUE("7592")</f>
        <v>7592</v>
      </c>
    </row>
    <row r="158" spans="1:5" x14ac:dyDescent="0.25">
      <c r="A158" s="2" t="s">
        <v>1288</v>
      </c>
      <c r="B158" s="3" t="s">
        <v>1927</v>
      </c>
      <c r="C158" s="5">
        <f>VALUE("2016")</f>
        <v>2016</v>
      </c>
      <c r="D158" s="2" t="s">
        <v>591</v>
      </c>
      <c r="E158" s="5">
        <f>VALUE("7590")</f>
        <v>7590</v>
      </c>
    </row>
    <row r="159" spans="1:5" x14ac:dyDescent="0.25">
      <c r="A159" s="3" t="s">
        <v>1928</v>
      </c>
      <c r="B159" s="2" t="s">
        <v>1286</v>
      </c>
      <c r="C159" s="5">
        <v>2017</v>
      </c>
      <c r="D159" s="2" t="s">
        <v>596</v>
      </c>
      <c r="E159" s="5">
        <f>VALUE("7588")</f>
        <v>7588</v>
      </c>
    </row>
    <row r="160" spans="1:5" x14ac:dyDescent="0.25">
      <c r="A160" s="2" t="s">
        <v>1287</v>
      </c>
      <c r="B160" s="2" t="s">
        <v>1286</v>
      </c>
      <c r="C160" s="5">
        <f>VALUE("2016")</f>
        <v>2016</v>
      </c>
      <c r="D160" s="2" t="s">
        <v>596</v>
      </c>
      <c r="E160" s="5">
        <f>VALUE("7588")</f>
        <v>7588</v>
      </c>
    </row>
    <row r="161" spans="1:5" x14ac:dyDescent="0.25">
      <c r="A161" s="2" t="s">
        <v>1283</v>
      </c>
      <c r="B161" s="2" t="s">
        <v>1284</v>
      </c>
      <c r="C161" s="5">
        <f>VALUE("2016")</f>
        <v>2016</v>
      </c>
      <c r="D161" s="2" t="s">
        <v>1285</v>
      </c>
      <c r="E161" s="5">
        <f>VALUE("7586")</f>
        <v>7586</v>
      </c>
    </row>
    <row r="162" spans="1:5" x14ac:dyDescent="0.25">
      <c r="A162" s="2" t="s">
        <v>1281</v>
      </c>
      <c r="B162" s="2" t="s">
        <v>1280</v>
      </c>
      <c r="C162" s="5">
        <f>VALUE("2016")</f>
        <v>2016</v>
      </c>
      <c r="D162" s="2" t="s">
        <v>1282</v>
      </c>
      <c r="E162" s="5">
        <f>VALUE("7585")</f>
        <v>7585</v>
      </c>
    </row>
    <row r="163" spans="1:5" x14ac:dyDescent="0.25">
      <c r="A163" s="2" t="s">
        <v>1279</v>
      </c>
      <c r="B163" s="2" t="s">
        <v>1280</v>
      </c>
      <c r="C163" s="5">
        <f>VALUE("2016")</f>
        <v>2016</v>
      </c>
      <c r="D163" s="2" t="s">
        <v>187</v>
      </c>
      <c r="E163" s="5">
        <f>VALUE("7585")</f>
        <v>7585</v>
      </c>
    </row>
    <row r="164" spans="1:5" x14ac:dyDescent="0.25">
      <c r="A164" s="2" t="s">
        <v>1275</v>
      </c>
      <c r="B164" s="2" t="s">
        <v>1276</v>
      </c>
      <c r="C164" s="5">
        <f>VALUE("2016")</f>
        <v>2016</v>
      </c>
      <c r="D164" s="2" t="s">
        <v>1277</v>
      </c>
      <c r="E164" s="5">
        <f>VALUE("7583")</f>
        <v>7583</v>
      </c>
    </row>
    <row r="165" spans="1:5" x14ac:dyDescent="0.25">
      <c r="A165" s="3" t="s">
        <v>1929</v>
      </c>
      <c r="B165" s="2" t="s">
        <v>1278</v>
      </c>
      <c r="C165" s="5">
        <v>2015</v>
      </c>
      <c r="D165" s="2" t="s">
        <v>504</v>
      </c>
      <c r="E165" s="5">
        <f>VALUE("7583")</f>
        <v>7583</v>
      </c>
    </row>
    <row r="166" spans="1:5" x14ac:dyDescent="0.25">
      <c r="A166" s="3" t="s">
        <v>1930</v>
      </c>
      <c r="B166" s="2" t="s">
        <v>1931</v>
      </c>
      <c r="C166" s="5">
        <f>VALUE("2016")</f>
        <v>2016</v>
      </c>
      <c r="D166" s="2" t="s">
        <v>1274</v>
      </c>
      <c r="E166" s="5">
        <f>VALUE("7582")</f>
        <v>7582</v>
      </c>
    </row>
    <row r="167" spans="1:5" x14ac:dyDescent="0.25">
      <c r="A167" s="2" t="s">
        <v>1270</v>
      </c>
      <c r="B167" s="2" t="s">
        <v>1271</v>
      </c>
      <c r="C167" s="5">
        <f>VALUE("2016")</f>
        <v>2016</v>
      </c>
      <c r="D167" s="2" t="s">
        <v>1272</v>
      </c>
      <c r="E167" s="5">
        <f>VALUE("7581")</f>
        <v>7581</v>
      </c>
    </row>
    <row r="168" spans="1:5" x14ac:dyDescent="0.25">
      <c r="A168" s="2" t="s">
        <v>1273</v>
      </c>
      <c r="B168" s="3" t="s">
        <v>1932</v>
      </c>
      <c r="C168" s="5">
        <f>VALUE("2016")</f>
        <v>2016</v>
      </c>
      <c r="D168" s="2" t="s">
        <v>1272</v>
      </c>
      <c r="E168" s="5">
        <f>VALUE("7581")</f>
        <v>7581</v>
      </c>
    </row>
    <row r="169" spans="1:5" x14ac:dyDescent="0.25">
      <c r="A169" s="2" t="s">
        <v>1268</v>
      </c>
      <c r="B169" s="7" t="s">
        <v>1269</v>
      </c>
      <c r="C169" s="5">
        <f>VALUE("2016")</f>
        <v>2016</v>
      </c>
      <c r="D169" s="2" t="s">
        <v>591</v>
      </c>
      <c r="E169" s="5">
        <f>VALUE("7580")</f>
        <v>7580</v>
      </c>
    </row>
    <row r="170" spans="1:5" x14ac:dyDescent="0.25">
      <c r="A170" s="2" t="s">
        <v>1266</v>
      </c>
      <c r="B170" s="2" t="s">
        <v>1267</v>
      </c>
      <c r="C170" s="5">
        <f>VALUE("2014")</f>
        <v>2014</v>
      </c>
      <c r="D170" s="2" t="s">
        <v>1137</v>
      </c>
      <c r="E170" s="5">
        <f>VALUE("7578")</f>
        <v>7578</v>
      </c>
    </row>
    <row r="171" spans="1:5" x14ac:dyDescent="0.25">
      <c r="A171" s="2" t="s">
        <v>1263</v>
      </c>
      <c r="B171" s="2" t="s">
        <v>1264</v>
      </c>
      <c r="C171" s="5">
        <v>2015</v>
      </c>
      <c r="D171" s="2" t="s">
        <v>1265</v>
      </c>
      <c r="E171" s="5">
        <f>VALUE("7577")</f>
        <v>7577</v>
      </c>
    </row>
    <row r="172" spans="1:5" x14ac:dyDescent="0.25">
      <c r="A172" s="2" t="s">
        <v>1261</v>
      </c>
      <c r="B172" s="2" t="s">
        <v>1262</v>
      </c>
      <c r="C172" s="5">
        <f>VALUE("2014")</f>
        <v>2014</v>
      </c>
      <c r="D172" s="2" t="s">
        <v>1137</v>
      </c>
      <c r="E172" s="5">
        <f>VALUE("7576")</f>
        <v>7576</v>
      </c>
    </row>
    <row r="173" spans="1:5" x14ac:dyDescent="0.25">
      <c r="A173" s="2" t="s">
        <v>1260</v>
      </c>
      <c r="B173" s="2" t="s">
        <v>1933</v>
      </c>
      <c r="C173" s="5">
        <f>VALUE("2014")</f>
        <v>2014</v>
      </c>
      <c r="D173" s="2" t="s">
        <v>1094</v>
      </c>
      <c r="E173" s="5">
        <f>VALUE("7572")</f>
        <v>7572</v>
      </c>
    </row>
    <row r="174" spans="1:5" x14ac:dyDescent="0.25">
      <c r="A174" s="2" t="s">
        <v>1255</v>
      </c>
      <c r="B174" s="2" t="s">
        <v>1256</v>
      </c>
      <c r="C174" s="5">
        <f>VALUE("2016")</f>
        <v>2016</v>
      </c>
      <c r="D174" s="2" t="s">
        <v>1257</v>
      </c>
      <c r="E174" s="5">
        <f>VALUE("7571")</f>
        <v>7571</v>
      </c>
    </row>
    <row r="175" spans="1:5" x14ac:dyDescent="0.25">
      <c r="A175" s="2" t="s">
        <v>1258</v>
      </c>
      <c r="B175" s="2" t="s">
        <v>1256</v>
      </c>
      <c r="C175" s="5">
        <f>VALUE("2016")</f>
        <v>2016</v>
      </c>
      <c r="D175" s="2" t="s">
        <v>1259</v>
      </c>
      <c r="E175" s="5">
        <f>VALUE("7571")</f>
        <v>7571</v>
      </c>
    </row>
    <row r="176" spans="1:5" x14ac:dyDescent="0.25">
      <c r="A176" s="2" t="s">
        <v>1252</v>
      </c>
      <c r="B176" s="2" t="s">
        <v>1253</v>
      </c>
      <c r="C176" s="5">
        <f>VALUE("2014")</f>
        <v>2014</v>
      </c>
      <c r="D176" s="2" t="s">
        <v>1254</v>
      </c>
      <c r="E176" s="5">
        <f>VALUE("7568")</f>
        <v>7568</v>
      </c>
    </row>
    <row r="177" spans="1:5" x14ac:dyDescent="0.25">
      <c r="A177" s="2" t="s">
        <v>1249</v>
      </c>
      <c r="B177" s="2" t="s">
        <v>1250</v>
      </c>
      <c r="C177" s="5">
        <f>VALUE("2014")</f>
        <v>2014</v>
      </c>
      <c r="D177" s="2" t="s">
        <v>1251</v>
      </c>
      <c r="E177" s="5">
        <f>VALUE("7562")</f>
        <v>7562</v>
      </c>
    </row>
    <row r="178" spans="1:5" x14ac:dyDescent="0.25">
      <c r="A178" s="2" t="s">
        <v>1246</v>
      </c>
      <c r="B178" s="2" t="s">
        <v>1247</v>
      </c>
      <c r="C178" s="5">
        <f>VALUE("2014")</f>
        <v>2014</v>
      </c>
      <c r="D178" s="2" t="s">
        <v>1248</v>
      </c>
      <c r="E178" s="5">
        <f>VALUE("7561")</f>
        <v>7561</v>
      </c>
    </row>
    <row r="179" spans="1:5" x14ac:dyDescent="0.25">
      <c r="A179" s="2" t="s">
        <v>1243</v>
      </c>
      <c r="B179" s="2" t="s">
        <v>1244</v>
      </c>
      <c r="C179" s="5">
        <f>VALUE("2014")</f>
        <v>2014</v>
      </c>
      <c r="D179" s="2" t="s">
        <v>1245</v>
      </c>
      <c r="E179" s="5">
        <f>VALUE("7560")</f>
        <v>7560</v>
      </c>
    </row>
    <row r="180" spans="1:5" x14ac:dyDescent="0.25">
      <c r="A180" s="2" t="s">
        <v>1241</v>
      </c>
      <c r="B180" s="2" t="s">
        <v>1242</v>
      </c>
      <c r="C180" s="5">
        <f>VALUE("2014")</f>
        <v>2014</v>
      </c>
      <c r="D180" s="2" t="s">
        <v>696</v>
      </c>
      <c r="E180" s="5">
        <f>VALUE("7559")</f>
        <v>7559</v>
      </c>
    </row>
    <row r="181" spans="1:5" x14ac:dyDescent="0.25">
      <c r="A181" s="2" t="s">
        <v>1934</v>
      </c>
      <c r="B181" s="2" t="s">
        <v>1242</v>
      </c>
      <c r="C181" s="5">
        <f>VALUE("2014")</f>
        <v>2014</v>
      </c>
      <c r="D181" s="2" t="s">
        <v>696</v>
      </c>
      <c r="E181" s="5">
        <f>VALUE("7559")</f>
        <v>7559</v>
      </c>
    </row>
    <row r="182" spans="1:5" x14ac:dyDescent="0.25">
      <c r="A182" s="3" t="s">
        <v>1935</v>
      </c>
      <c r="B182" s="2" t="s">
        <v>1239</v>
      </c>
      <c r="C182" s="5">
        <f>VALUE("2014")</f>
        <v>2014</v>
      </c>
      <c r="D182" s="2" t="s">
        <v>1240</v>
      </c>
      <c r="E182" s="5">
        <f>VALUE("7551")</f>
        <v>7551</v>
      </c>
    </row>
    <row r="183" spans="1:5" x14ac:dyDescent="0.25">
      <c r="A183" s="2" t="s">
        <v>2166</v>
      </c>
      <c r="B183" s="2" t="s">
        <v>2167</v>
      </c>
      <c r="C183" s="5">
        <v>2017</v>
      </c>
      <c r="D183" s="2" t="s">
        <v>2157</v>
      </c>
      <c r="E183" s="5">
        <v>7550</v>
      </c>
    </row>
    <row r="184" spans="1:5" x14ac:dyDescent="0.25">
      <c r="A184" s="2" t="s">
        <v>1236</v>
      </c>
      <c r="B184" s="2" t="s">
        <v>1237</v>
      </c>
      <c r="C184" s="5">
        <f>VALUE("2014")</f>
        <v>2014</v>
      </c>
      <c r="D184" s="2" t="s">
        <v>1238</v>
      </c>
      <c r="E184" s="5">
        <f>VALUE("7548")</f>
        <v>7548</v>
      </c>
    </row>
    <row r="185" spans="1:5" x14ac:dyDescent="0.25">
      <c r="A185" s="2" t="s">
        <v>1234</v>
      </c>
      <c r="B185" s="2" t="s">
        <v>1235</v>
      </c>
      <c r="C185" s="5">
        <f>VALUE("2014")</f>
        <v>2014</v>
      </c>
      <c r="D185" s="2" t="s">
        <v>1235</v>
      </c>
      <c r="E185" s="5">
        <f>VALUE("7546")</f>
        <v>7546</v>
      </c>
    </row>
    <row r="186" spans="1:5" x14ac:dyDescent="0.25">
      <c r="A186" s="2" t="s">
        <v>1232</v>
      </c>
      <c r="B186" s="2" t="s">
        <v>1233</v>
      </c>
      <c r="C186" s="5">
        <v>2013</v>
      </c>
      <c r="E186" s="5">
        <f>VALUE("7542")</f>
        <v>7542</v>
      </c>
    </row>
    <row r="187" spans="1:5" x14ac:dyDescent="0.25">
      <c r="A187" s="2" t="s">
        <v>1230</v>
      </c>
      <c r="B187" s="2" t="s">
        <v>1231</v>
      </c>
      <c r="C187" s="5">
        <f>VALUE("2014")</f>
        <v>2014</v>
      </c>
      <c r="D187" s="2" t="s">
        <v>735</v>
      </c>
      <c r="E187" s="5">
        <f>VALUE("7540")</f>
        <v>7540</v>
      </c>
    </row>
    <row r="188" spans="1:5" x14ac:dyDescent="0.25">
      <c r="A188" s="2" t="s">
        <v>1228</v>
      </c>
      <c r="B188" s="2" t="s">
        <v>1229</v>
      </c>
      <c r="C188" s="5">
        <f>VALUE("2014")</f>
        <v>2014</v>
      </c>
      <c r="D188" s="2" t="s">
        <v>1109</v>
      </c>
      <c r="E188" s="5">
        <f>VALUE("7539")</f>
        <v>7539</v>
      </c>
    </row>
    <row r="189" spans="1:5" x14ac:dyDescent="0.25">
      <c r="A189" s="2" t="s">
        <v>1225</v>
      </c>
      <c r="B189" s="2" t="s">
        <v>1226</v>
      </c>
      <c r="C189" s="5">
        <f>VALUE("2013")</f>
        <v>2013</v>
      </c>
      <c r="D189" s="2" t="s">
        <v>1227</v>
      </c>
      <c r="E189" s="5">
        <f>VALUE("7538")</f>
        <v>7538</v>
      </c>
    </row>
    <row r="190" spans="1:5" x14ac:dyDescent="0.25">
      <c r="A190" s="2" t="s">
        <v>1223</v>
      </c>
      <c r="B190" s="2" t="s">
        <v>1224</v>
      </c>
      <c r="C190" s="5">
        <f>VALUE("2013")</f>
        <v>2013</v>
      </c>
      <c r="D190" s="2" t="s">
        <v>591</v>
      </c>
      <c r="E190" s="5">
        <f>VALUE("7536")</f>
        <v>7536</v>
      </c>
    </row>
    <row r="191" spans="1:5" x14ac:dyDescent="0.25">
      <c r="A191" s="3" t="s">
        <v>1936</v>
      </c>
      <c r="B191" s="2" t="s">
        <v>1220</v>
      </c>
      <c r="C191" s="5">
        <f>VALUE("2016")</f>
        <v>2016</v>
      </c>
      <c r="D191" s="2" t="s">
        <v>499</v>
      </c>
      <c r="E191" s="5">
        <f>VALUE("7531")</f>
        <v>7531</v>
      </c>
    </row>
    <row r="192" spans="1:5" x14ac:dyDescent="0.25">
      <c r="A192" s="2" t="s">
        <v>1221</v>
      </c>
      <c r="B192" s="2" t="s">
        <v>1222</v>
      </c>
      <c r="C192" s="5">
        <v>2014</v>
      </c>
      <c r="D192" s="2" t="s">
        <v>499</v>
      </c>
      <c r="E192" s="5">
        <f>VALUE("7531")</f>
        <v>7531</v>
      </c>
    </row>
    <row r="193" spans="1:5" x14ac:dyDescent="0.25">
      <c r="A193" s="2" t="s">
        <v>1218</v>
      </c>
      <c r="B193" s="2" t="s">
        <v>1219</v>
      </c>
      <c r="C193" s="5">
        <f>VALUE("2016")</f>
        <v>2016</v>
      </c>
      <c r="D193" s="2" t="s">
        <v>675</v>
      </c>
      <c r="E193" s="5">
        <f>VALUE("7530")</f>
        <v>7530</v>
      </c>
    </row>
    <row r="194" spans="1:5" x14ac:dyDescent="0.25">
      <c r="A194" s="2" t="s">
        <v>1216</v>
      </c>
      <c r="B194" s="2" t="s">
        <v>1217</v>
      </c>
      <c r="C194" s="5">
        <f>VALUE("2017")</f>
        <v>2017</v>
      </c>
      <c r="D194" s="2" t="s">
        <v>187</v>
      </c>
      <c r="E194" s="5">
        <f>VALUE("7523")</f>
        <v>7523</v>
      </c>
    </row>
    <row r="195" spans="1:5" x14ac:dyDescent="0.25">
      <c r="A195" s="2" t="s">
        <v>1212</v>
      </c>
      <c r="B195" s="2" t="s">
        <v>723</v>
      </c>
      <c r="C195" s="5">
        <f>VALUE("2014")</f>
        <v>2014</v>
      </c>
      <c r="D195" s="2" t="s">
        <v>723</v>
      </c>
      <c r="E195" s="5">
        <f>VALUE("7520")</f>
        <v>7520</v>
      </c>
    </row>
    <row r="196" spans="1:5" x14ac:dyDescent="0.25">
      <c r="A196" s="2" t="s">
        <v>1213</v>
      </c>
      <c r="B196" s="2" t="s">
        <v>723</v>
      </c>
      <c r="C196" s="5">
        <f>VALUE("2014")</f>
        <v>2014</v>
      </c>
      <c r="D196" s="2" t="s">
        <v>723</v>
      </c>
      <c r="E196" s="5">
        <f>VALUE("7520")</f>
        <v>7520</v>
      </c>
    </row>
    <row r="197" spans="1:5" x14ac:dyDescent="0.25">
      <c r="A197" s="2" t="s">
        <v>1214</v>
      </c>
      <c r="B197" s="2" t="s">
        <v>723</v>
      </c>
      <c r="C197" s="5">
        <f>VALUE("2014")</f>
        <v>2014</v>
      </c>
      <c r="D197" s="2" t="s">
        <v>723</v>
      </c>
      <c r="E197" s="5">
        <f>VALUE("7520")</f>
        <v>7520</v>
      </c>
    </row>
    <row r="198" spans="1:5" x14ac:dyDescent="0.25">
      <c r="A198" s="2" t="s">
        <v>1215</v>
      </c>
      <c r="B198" s="2" t="s">
        <v>723</v>
      </c>
      <c r="C198" s="5">
        <f>VALUE("2014")</f>
        <v>2014</v>
      </c>
      <c r="D198" s="2" t="s">
        <v>723</v>
      </c>
      <c r="E198" s="5">
        <f>VALUE("7520")</f>
        <v>7520</v>
      </c>
    </row>
    <row r="199" spans="1:5" x14ac:dyDescent="0.25">
      <c r="A199" s="2" t="s">
        <v>1210</v>
      </c>
      <c r="B199" s="2" t="s">
        <v>1211</v>
      </c>
      <c r="C199" s="5">
        <f>VALUE("2014")</f>
        <v>2014</v>
      </c>
      <c r="D199" s="2" t="s">
        <v>723</v>
      </c>
      <c r="E199" s="5">
        <f>VALUE("7516")</f>
        <v>7516</v>
      </c>
    </row>
    <row r="200" spans="1:5" x14ac:dyDescent="0.25">
      <c r="A200" s="3" t="s">
        <v>1937</v>
      </c>
      <c r="B200" s="2" t="s">
        <v>892</v>
      </c>
      <c r="C200" s="5">
        <f>VALUE("2013")</f>
        <v>2013</v>
      </c>
      <c r="D200" s="2" t="s">
        <v>892</v>
      </c>
      <c r="E200" s="5">
        <f>VALUE("7515")</f>
        <v>7515</v>
      </c>
    </row>
    <row r="201" spans="1:5" x14ac:dyDescent="0.25">
      <c r="A201" s="2" t="s">
        <v>1208</v>
      </c>
      <c r="B201" s="2" t="s">
        <v>1209</v>
      </c>
      <c r="C201" s="5">
        <f>VALUE("2013")</f>
        <v>2013</v>
      </c>
      <c r="D201" s="2" t="s">
        <v>723</v>
      </c>
      <c r="E201" s="5">
        <f>VALUE("7514")</f>
        <v>7514</v>
      </c>
    </row>
    <row r="202" spans="1:5" x14ac:dyDescent="0.25">
      <c r="A202" s="2" t="s">
        <v>1205</v>
      </c>
      <c r="B202" s="2" t="s">
        <v>1206</v>
      </c>
      <c r="C202" s="5">
        <v>2015</v>
      </c>
      <c r="D202" s="2" t="s">
        <v>1207</v>
      </c>
      <c r="E202" s="5">
        <f>VALUE("7512")</f>
        <v>7512</v>
      </c>
    </row>
    <row r="203" spans="1:5" x14ac:dyDescent="0.25">
      <c r="A203" s="2" t="s">
        <v>1203</v>
      </c>
      <c r="B203" s="2" t="s">
        <v>1204</v>
      </c>
      <c r="C203" s="5">
        <f>VALUE("2013")</f>
        <v>2013</v>
      </c>
      <c r="D203" s="2" t="s">
        <v>723</v>
      </c>
      <c r="E203" s="5">
        <f>VALUE("7510")</f>
        <v>7510</v>
      </c>
    </row>
    <row r="204" spans="1:5" x14ac:dyDescent="0.25">
      <c r="A204" s="2" t="s">
        <v>1200</v>
      </c>
      <c r="B204" s="2" t="s">
        <v>1201</v>
      </c>
      <c r="C204" s="5">
        <v>2015</v>
      </c>
      <c r="D204" s="2" t="s">
        <v>1202</v>
      </c>
      <c r="E204" s="5">
        <f>VALUE("7509")</f>
        <v>7509</v>
      </c>
    </row>
    <row r="205" spans="1:5" x14ac:dyDescent="0.25">
      <c r="A205" s="2" t="s">
        <v>1198</v>
      </c>
      <c r="B205" s="2" t="s">
        <v>1199</v>
      </c>
      <c r="C205" s="5">
        <f>VALUE("2013")</f>
        <v>2013</v>
      </c>
      <c r="E205" s="5">
        <f>VALUE("7505")</f>
        <v>7505</v>
      </c>
    </row>
    <row r="206" spans="1:5" x14ac:dyDescent="0.25">
      <c r="A206" s="2" t="s">
        <v>1192</v>
      </c>
      <c r="B206" s="2" t="s">
        <v>1193</v>
      </c>
      <c r="C206" s="5">
        <v>2015</v>
      </c>
      <c r="D206" s="2" t="s">
        <v>1194</v>
      </c>
      <c r="E206" s="5">
        <f>VALUE("7503")</f>
        <v>7503</v>
      </c>
    </row>
    <row r="207" spans="1:5" x14ac:dyDescent="0.25">
      <c r="A207" s="2" t="s">
        <v>1195</v>
      </c>
      <c r="B207" s="2" t="s">
        <v>1196</v>
      </c>
      <c r="C207" s="5">
        <f>VALUE("2013")</f>
        <v>2013</v>
      </c>
      <c r="D207" s="2" t="s">
        <v>1197</v>
      </c>
      <c r="E207" s="5">
        <f>VALUE("7503")</f>
        <v>7503</v>
      </c>
    </row>
    <row r="208" spans="1:5" x14ac:dyDescent="0.25">
      <c r="A208" s="2" t="s">
        <v>1191</v>
      </c>
      <c r="B208" s="3" t="s">
        <v>2127</v>
      </c>
      <c r="C208" s="5">
        <f>VALUE("2014")</f>
        <v>2014</v>
      </c>
      <c r="D208" s="2" t="s">
        <v>591</v>
      </c>
      <c r="E208" s="5">
        <f>VALUE("7502")</f>
        <v>7502</v>
      </c>
    </row>
    <row r="209" spans="1:5" x14ac:dyDescent="0.25">
      <c r="A209" s="2" t="s">
        <v>1188</v>
      </c>
      <c r="B209" s="7" t="s">
        <v>1189</v>
      </c>
      <c r="C209" s="5">
        <f>VALUE("2014")</f>
        <v>2014</v>
      </c>
      <c r="D209" s="2" t="s">
        <v>591</v>
      </c>
      <c r="E209" s="5">
        <f>VALUE("7501")</f>
        <v>7501</v>
      </c>
    </row>
    <row r="210" spans="1:5" x14ac:dyDescent="0.25">
      <c r="A210" s="2" t="s">
        <v>1190</v>
      </c>
      <c r="B210" s="2" t="s">
        <v>1189</v>
      </c>
      <c r="C210" s="5">
        <f>VALUE("2014")</f>
        <v>2014</v>
      </c>
      <c r="D210" s="2" t="s">
        <v>591</v>
      </c>
      <c r="E210" s="5">
        <f>VALUE("7501")</f>
        <v>7501</v>
      </c>
    </row>
    <row r="211" spans="1:5" x14ac:dyDescent="0.25">
      <c r="A211" s="2" t="s">
        <v>1186</v>
      </c>
      <c r="B211" s="2" t="s">
        <v>1187</v>
      </c>
      <c r="C211" s="5">
        <f>VALUE("2014")</f>
        <v>2014</v>
      </c>
      <c r="D211" s="2" t="s">
        <v>723</v>
      </c>
      <c r="E211" s="5">
        <f>VALUE("7500")</f>
        <v>7500</v>
      </c>
    </row>
    <row r="212" spans="1:5" x14ac:dyDescent="0.25">
      <c r="A212" s="2" t="s">
        <v>1184</v>
      </c>
      <c r="B212" s="2" t="s">
        <v>1185</v>
      </c>
      <c r="C212" s="5">
        <f>VALUE("2014")</f>
        <v>2014</v>
      </c>
      <c r="D212" s="2" t="s">
        <v>1185</v>
      </c>
      <c r="E212" s="5">
        <f>VALUE("7499")</f>
        <v>7499</v>
      </c>
    </row>
    <row r="213" spans="1:5" x14ac:dyDescent="0.25">
      <c r="A213" s="2" t="s">
        <v>1182</v>
      </c>
      <c r="B213" s="3" t="s">
        <v>1938</v>
      </c>
      <c r="C213" s="5">
        <f>VALUE("2016")</f>
        <v>2016</v>
      </c>
      <c r="D213" s="2" t="s">
        <v>1183</v>
      </c>
      <c r="E213" s="5">
        <f>VALUE("7495")</f>
        <v>7495</v>
      </c>
    </row>
    <row r="214" spans="1:5" x14ac:dyDescent="0.25">
      <c r="A214" s="2" t="s">
        <v>1177</v>
      </c>
      <c r="B214" s="7" t="s">
        <v>1178</v>
      </c>
      <c r="C214" s="5">
        <f>VALUE("2013")</f>
        <v>2013</v>
      </c>
      <c r="D214" s="2" t="s">
        <v>735</v>
      </c>
      <c r="E214" s="5">
        <f>VALUE("7494")</f>
        <v>7494</v>
      </c>
    </row>
    <row r="215" spans="1:5" x14ac:dyDescent="0.25">
      <c r="A215" s="2" t="s">
        <v>1179</v>
      </c>
      <c r="B215" s="2" t="s">
        <v>1180</v>
      </c>
      <c r="C215" s="5">
        <f>VALUE("2013")</f>
        <v>2013</v>
      </c>
      <c r="D215" s="2" t="s">
        <v>1181</v>
      </c>
      <c r="E215" s="5">
        <f>VALUE("7494")</f>
        <v>7494</v>
      </c>
    </row>
    <row r="216" spans="1:5" x14ac:dyDescent="0.25">
      <c r="A216" s="2" t="s">
        <v>1175</v>
      </c>
      <c r="B216" s="2" t="s">
        <v>1176</v>
      </c>
      <c r="C216" s="5">
        <f>VALUE("2013")</f>
        <v>2013</v>
      </c>
      <c r="D216" s="2" t="s">
        <v>717</v>
      </c>
      <c r="E216" s="5">
        <f>VALUE("7491")</f>
        <v>7491</v>
      </c>
    </row>
    <row r="217" spans="1:5" x14ac:dyDescent="0.25">
      <c r="A217" s="2" t="s">
        <v>1172</v>
      </c>
      <c r="B217" s="2" t="s">
        <v>1173</v>
      </c>
      <c r="C217" s="5">
        <f>VALUE("2014")</f>
        <v>2014</v>
      </c>
      <c r="D217" s="2" t="s">
        <v>1174</v>
      </c>
      <c r="E217" s="5">
        <f>VALUE("7490")</f>
        <v>7490</v>
      </c>
    </row>
    <row r="218" spans="1:5" x14ac:dyDescent="0.25">
      <c r="A218" s="2" t="s">
        <v>1169</v>
      </c>
      <c r="B218" s="2" t="s">
        <v>1164</v>
      </c>
      <c r="C218" s="5">
        <v>2015</v>
      </c>
      <c r="D218" s="2" t="s">
        <v>591</v>
      </c>
      <c r="E218" s="5">
        <f>VALUE("7486")</f>
        <v>7486</v>
      </c>
    </row>
    <row r="219" spans="1:5" x14ac:dyDescent="0.25">
      <c r="A219" s="2" t="s">
        <v>1163</v>
      </c>
      <c r="B219" s="2" t="s">
        <v>1164</v>
      </c>
      <c r="C219" s="5">
        <f>VALUE("2014")</f>
        <v>2014</v>
      </c>
      <c r="D219" s="2" t="s">
        <v>1165</v>
      </c>
      <c r="E219" s="5">
        <f>VALUE("7486")</f>
        <v>7486</v>
      </c>
    </row>
    <row r="220" spans="1:5" x14ac:dyDescent="0.25">
      <c r="A220" s="2" t="s">
        <v>1166</v>
      </c>
      <c r="B220" s="2" t="s">
        <v>1167</v>
      </c>
      <c r="C220" s="5">
        <f>VALUE("2013")</f>
        <v>2013</v>
      </c>
      <c r="D220" s="2" t="s">
        <v>1168</v>
      </c>
      <c r="E220" s="5">
        <f>VALUE("7486")</f>
        <v>7486</v>
      </c>
    </row>
    <row r="221" spans="1:5" x14ac:dyDescent="0.25">
      <c r="A221" s="2" t="s">
        <v>1170</v>
      </c>
      <c r="B221" s="2" t="s">
        <v>1171</v>
      </c>
      <c r="C221" s="5">
        <f>VALUE("2013")</f>
        <v>2013</v>
      </c>
      <c r="D221" s="2" t="s">
        <v>591</v>
      </c>
      <c r="E221" s="5">
        <f>VALUE("7486")</f>
        <v>7486</v>
      </c>
    </row>
    <row r="222" spans="1:5" x14ac:dyDescent="0.25">
      <c r="A222" s="2" t="s">
        <v>1160</v>
      </c>
      <c r="B222" s="2" t="s">
        <v>1161</v>
      </c>
      <c r="C222" s="5">
        <f>VALUE("2015")</f>
        <v>2015</v>
      </c>
      <c r="D222" s="2" t="s">
        <v>1162</v>
      </c>
      <c r="E222" s="5">
        <f>VALUE("7483")</f>
        <v>7483</v>
      </c>
    </row>
    <row r="223" spans="1:5" x14ac:dyDescent="0.25">
      <c r="A223" s="2" t="s">
        <v>1158</v>
      </c>
      <c r="B223" s="2" t="s">
        <v>1159</v>
      </c>
      <c r="C223" s="5">
        <f>VALUE("2014")</f>
        <v>2014</v>
      </c>
      <c r="D223" s="2" t="s">
        <v>857</v>
      </c>
      <c r="E223" s="5">
        <f>VALUE("7480")</f>
        <v>7480</v>
      </c>
    </row>
    <row r="224" spans="1:5" x14ac:dyDescent="0.25">
      <c r="A224" s="2" t="s">
        <v>1156</v>
      </c>
      <c r="B224" s="2" t="s">
        <v>1157</v>
      </c>
      <c r="C224" s="5">
        <f>VALUE("2014")</f>
        <v>2014</v>
      </c>
      <c r="D224" s="2" t="s">
        <v>591</v>
      </c>
      <c r="E224" s="5">
        <f>VALUE("7477")</f>
        <v>7477</v>
      </c>
    </row>
    <row r="225" spans="1:5" x14ac:dyDescent="0.25">
      <c r="A225" s="2" t="s">
        <v>1153</v>
      </c>
      <c r="B225" s="2" t="s">
        <v>1154</v>
      </c>
      <c r="C225" s="5">
        <v>2015</v>
      </c>
      <c r="D225" s="2" t="s">
        <v>1155</v>
      </c>
      <c r="E225" s="5">
        <f>VALUE("7472")</f>
        <v>7472</v>
      </c>
    </row>
    <row r="226" spans="1:5" x14ac:dyDescent="0.25">
      <c r="A226" s="2" t="s">
        <v>1150</v>
      </c>
      <c r="B226" s="2" t="s">
        <v>1151</v>
      </c>
      <c r="C226" s="5">
        <f>VALUE("2014")</f>
        <v>2014</v>
      </c>
      <c r="D226" s="2" t="s">
        <v>1152</v>
      </c>
      <c r="E226" s="5">
        <f>VALUE("7470")</f>
        <v>7470</v>
      </c>
    </row>
    <row r="227" spans="1:5" x14ac:dyDescent="0.25">
      <c r="A227" s="2" t="s">
        <v>1148</v>
      </c>
      <c r="B227" s="2" t="s">
        <v>1149</v>
      </c>
      <c r="C227" s="5">
        <f>VALUE("2013")</f>
        <v>2013</v>
      </c>
      <c r="D227" s="2" t="s">
        <v>1094</v>
      </c>
      <c r="E227" s="5">
        <f>VALUE("7469")</f>
        <v>7469</v>
      </c>
    </row>
    <row r="228" spans="1:5" x14ac:dyDescent="0.25">
      <c r="A228" s="2" t="s">
        <v>704</v>
      </c>
      <c r="B228" s="2" t="s">
        <v>705</v>
      </c>
      <c r="C228" s="5">
        <f>VALUE("2013")</f>
        <v>2013</v>
      </c>
      <c r="D228" s="2" t="s">
        <v>1147</v>
      </c>
      <c r="E228" s="5">
        <f>VALUE("7468")</f>
        <v>7468</v>
      </c>
    </row>
    <row r="229" spans="1:5" x14ac:dyDescent="0.25">
      <c r="A229" s="2" t="s">
        <v>1145</v>
      </c>
      <c r="B229" s="2" t="s">
        <v>2126</v>
      </c>
      <c r="C229" s="5">
        <f>VALUE("2013")</f>
        <v>2013</v>
      </c>
      <c r="D229" s="2" t="s">
        <v>1146</v>
      </c>
      <c r="E229" s="5">
        <f>VALUE("7462")</f>
        <v>7462</v>
      </c>
    </row>
    <row r="230" spans="1:5" x14ac:dyDescent="0.25">
      <c r="A230" s="2" t="s">
        <v>1142</v>
      </c>
      <c r="B230" s="2" t="s">
        <v>1143</v>
      </c>
      <c r="C230" s="5">
        <f>VALUE("2017")</f>
        <v>2017</v>
      </c>
      <c r="D230" s="2" t="s">
        <v>1144</v>
      </c>
      <c r="E230" s="5">
        <f>VALUE("7456")</f>
        <v>7456</v>
      </c>
    </row>
    <row r="231" spans="1:5" x14ac:dyDescent="0.25">
      <c r="A231" s="2" t="s">
        <v>1141</v>
      </c>
      <c r="B231" s="3" t="s">
        <v>2125</v>
      </c>
      <c r="C231" s="5">
        <f>VALUE("2015")</f>
        <v>2015</v>
      </c>
      <c r="D231" s="2" t="s">
        <v>591</v>
      </c>
      <c r="E231" s="5">
        <f>VALUE("7454")</f>
        <v>7454</v>
      </c>
    </row>
    <row r="232" spans="1:5" x14ac:dyDescent="0.25">
      <c r="A232" s="2" t="s">
        <v>1138</v>
      </c>
      <c r="B232" s="7" t="s">
        <v>1139</v>
      </c>
      <c r="C232" s="5">
        <f>VALUE("2014")</f>
        <v>2014</v>
      </c>
      <c r="D232" s="2" t="s">
        <v>1140</v>
      </c>
      <c r="E232" s="5">
        <f>VALUE("7450")</f>
        <v>7450</v>
      </c>
    </row>
    <row r="233" spans="1:5" x14ac:dyDescent="0.25">
      <c r="A233" s="2" t="s">
        <v>1132</v>
      </c>
      <c r="B233" s="2" t="s">
        <v>1133</v>
      </c>
      <c r="C233" s="5">
        <f>VALUE("2014")</f>
        <v>2014</v>
      </c>
      <c r="D233" s="2" t="s">
        <v>1134</v>
      </c>
      <c r="E233" s="5">
        <f>VALUE("7449")</f>
        <v>7449</v>
      </c>
    </row>
    <row r="234" spans="1:5" x14ac:dyDescent="0.25">
      <c r="A234" s="2" t="s">
        <v>1135</v>
      </c>
      <c r="B234" s="2" t="s">
        <v>1136</v>
      </c>
      <c r="C234" s="5">
        <v>2013</v>
      </c>
      <c r="D234" s="2" t="s">
        <v>1137</v>
      </c>
      <c r="E234" s="5">
        <f>VALUE("7449")</f>
        <v>7449</v>
      </c>
    </row>
    <row r="235" spans="1:5" x14ac:dyDescent="0.25">
      <c r="A235" s="2" t="s">
        <v>1129</v>
      </c>
      <c r="B235" s="2" t="s">
        <v>1130</v>
      </c>
      <c r="C235" s="5">
        <f>VALUE("2014")</f>
        <v>2014</v>
      </c>
      <c r="D235" s="2" t="s">
        <v>1131</v>
      </c>
      <c r="E235" s="5">
        <f>VALUE("7448")</f>
        <v>7448</v>
      </c>
    </row>
    <row r="236" spans="1:5" x14ac:dyDescent="0.25">
      <c r="A236" s="2" t="s">
        <v>1127</v>
      </c>
      <c r="B236" s="2" t="s">
        <v>1125</v>
      </c>
      <c r="C236" s="5">
        <f>VALUE("2014")</f>
        <v>2014</v>
      </c>
      <c r="D236" s="2" t="s">
        <v>1128</v>
      </c>
      <c r="E236" s="5">
        <f>VALUE("7447")</f>
        <v>7447</v>
      </c>
    </row>
    <row r="237" spans="1:5" x14ac:dyDescent="0.25">
      <c r="A237" s="2" t="s">
        <v>1124</v>
      </c>
      <c r="B237" s="2" t="s">
        <v>1125</v>
      </c>
      <c r="C237" s="5">
        <f>VALUE("2013")</f>
        <v>2013</v>
      </c>
      <c r="D237" s="2" t="s">
        <v>1126</v>
      </c>
      <c r="E237" s="5">
        <f>VALUE("7447")</f>
        <v>7447</v>
      </c>
    </row>
    <row r="238" spans="1:5" x14ac:dyDescent="0.25">
      <c r="A238" s="2" t="s">
        <v>1122</v>
      </c>
      <c r="B238" s="2" t="s">
        <v>1123</v>
      </c>
      <c r="C238" s="5">
        <f>VALUE("2013")</f>
        <v>2013</v>
      </c>
      <c r="D238" s="2" t="s">
        <v>1082</v>
      </c>
      <c r="E238" s="5">
        <f>VALUE("7446")</f>
        <v>7446</v>
      </c>
    </row>
    <row r="239" spans="1:5" x14ac:dyDescent="0.25">
      <c r="A239" s="2" t="s">
        <v>1120</v>
      </c>
      <c r="B239" s="2" t="s">
        <v>1121</v>
      </c>
      <c r="C239" s="5">
        <f>VALUE("2013")</f>
        <v>2013</v>
      </c>
      <c r="E239" s="5">
        <f>VALUE("7444")</f>
        <v>7444</v>
      </c>
    </row>
    <row r="240" spans="1:5" x14ac:dyDescent="0.25">
      <c r="A240" s="2" t="s">
        <v>1118</v>
      </c>
      <c r="B240" s="2" t="s">
        <v>1119</v>
      </c>
      <c r="C240" s="5">
        <f>VALUE("2013")</f>
        <v>2013</v>
      </c>
      <c r="E240" s="5">
        <f>VALUE("7443")</f>
        <v>7443</v>
      </c>
    </row>
    <row r="241" spans="1:5" x14ac:dyDescent="0.25">
      <c r="A241" s="3" t="s">
        <v>1939</v>
      </c>
      <c r="B241" s="2" t="s">
        <v>1116</v>
      </c>
      <c r="C241" s="5">
        <f>VALUE("2013")</f>
        <v>2013</v>
      </c>
      <c r="D241" s="2" t="s">
        <v>1117</v>
      </c>
      <c r="E241" s="5">
        <f>VALUE("7441")</f>
        <v>7441</v>
      </c>
    </row>
    <row r="242" spans="1:5" x14ac:dyDescent="0.25">
      <c r="A242" s="2" t="s">
        <v>1114</v>
      </c>
      <c r="B242" s="2" t="s">
        <v>1115</v>
      </c>
      <c r="C242" s="5">
        <f>VALUE("2013")</f>
        <v>2013</v>
      </c>
      <c r="D242" s="2" t="s">
        <v>735</v>
      </c>
      <c r="E242" s="5">
        <f>VALUE("7438")</f>
        <v>7438</v>
      </c>
    </row>
    <row r="243" spans="1:5" x14ac:dyDescent="0.25">
      <c r="A243" s="7" t="s">
        <v>1113</v>
      </c>
      <c r="B243" s="2" t="s">
        <v>723</v>
      </c>
      <c r="C243" s="5">
        <f>VALUE("2012")</f>
        <v>2012</v>
      </c>
      <c r="D243" s="2" t="s">
        <v>723</v>
      </c>
      <c r="E243" s="5">
        <f>VALUE("7437")</f>
        <v>7437</v>
      </c>
    </row>
    <row r="244" spans="1:5" x14ac:dyDescent="0.25">
      <c r="A244" s="2" t="s">
        <v>1107</v>
      </c>
      <c r="B244" s="2" t="s">
        <v>1108</v>
      </c>
      <c r="C244" s="5">
        <f>VALUE("2015")</f>
        <v>2015</v>
      </c>
      <c r="D244" s="2" t="s">
        <v>1109</v>
      </c>
      <c r="E244" s="5">
        <f>VALUE("7433")</f>
        <v>7433</v>
      </c>
    </row>
    <row r="245" spans="1:5" x14ac:dyDescent="0.25">
      <c r="A245" s="2" t="s">
        <v>1110</v>
      </c>
      <c r="B245" s="2" t="s">
        <v>1111</v>
      </c>
      <c r="C245" s="5">
        <f>VALUE("2014")</f>
        <v>2014</v>
      </c>
      <c r="D245" s="2" t="s">
        <v>1112</v>
      </c>
      <c r="E245" s="5">
        <f>VALUE("7433")</f>
        <v>7433</v>
      </c>
    </row>
    <row r="246" spans="1:5" x14ac:dyDescent="0.25">
      <c r="A246" s="2" t="s">
        <v>1105</v>
      </c>
      <c r="B246" s="2" t="s">
        <v>1106</v>
      </c>
      <c r="C246" s="5">
        <f>VALUE("2014")</f>
        <v>2014</v>
      </c>
      <c r="D246" s="2" t="s">
        <v>723</v>
      </c>
      <c r="E246" s="5">
        <f>VALUE("7432")</f>
        <v>7432</v>
      </c>
    </row>
    <row r="247" spans="1:5" x14ac:dyDescent="0.25">
      <c r="A247" s="2" t="s">
        <v>1102</v>
      </c>
      <c r="B247" s="2" t="s">
        <v>1103</v>
      </c>
      <c r="C247" s="5">
        <f>VALUE("2014")</f>
        <v>2014</v>
      </c>
      <c r="D247" s="2" t="s">
        <v>1104</v>
      </c>
      <c r="E247" s="5">
        <f>VALUE("7431")</f>
        <v>7431</v>
      </c>
    </row>
    <row r="248" spans="1:5" x14ac:dyDescent="0.25">
      <c r="A248" s="2" t="s">
        <v>1100</v>
      </c>
      <c r="B248" s="3" t="s">
        <v>1940</v>
      </c>
      <c r="C248" s="5">
        <f>VALUE("2013")</f>
        <v>2013</v>
      </c>
      <c r="D248" s="2" t="s">
        <v>1101</v>
      </c>
      <c r="E248" s="5">
        <f>VALUE("7430")</f>
        <v>7430</v>
      </c>
    </row>
    <row r="249" spans="1:5" x14ac:dyDescent="0.25">
      <c r="A249" s="2" t="s">
        <v>1097</v>
      </c>
      <c r="B249" s="7" t="s">
        <v>1098</v>
      </c>
      <c r="C249" s="5">
        <v>2016</v>
      </c>
      <c r="D249" s="2" t="s">
        <v>1099</v>
      </c>
      <c r="E249" s="5">
        <f>VALUE("7429")</f>
        <v>7429</v>
      </c>
    </row>
    <row r="250" spans="1:5" x14ac:dyDescent="0.25">
      <c r="A250" s="2" t="s">
        <v>1095</v>
      </c>
      <c r="B250" s="2" t="s">
        <v>1096</v>
      </c>
      <c r="C250" s="5">
        <f>VALUE("2013")</f>
        <v>2013</v>
      </c>
      <c r="D250" s="2" t="s">
        <v>717</v>
      </c>
      <c r="E250" s="5">
        <f>VALUE("7429")</f>
        <v>7429</v>
      </c>
    </row>
    <row r="251" spans="1:5" x14ac:dyDescent="0.25">
      <c r="A251" s="2" t="s">
        <v>1092</v>
      </c>
      <c r="B251" s="2" t="s">
        <v>1093</v>
      </c>
      <c r="C251" s="5">
        <f>VALUE("2013")</f>
        <v>2013</v>
      </c>
      <c r="D251" s="2" t="s">
        <v>1094</v>
      </c>
      <c r="E251" s="5">
        <f>VALUE("7427")</f>
        <v>7427</v>
      </c>
    </row>
    <row r="252" spans="1:5" x14ac:dyDescent="0.25">
      <c r="A252" s="2" t="s">
        <v>1089</v>
      </c>
      <c r="B252" s="2" t="s">
        <v>1090</v>
      </c>
      <c r="C252" s="5">
        <f>VALUE("2013")</f>
        <v>2013</v>
      </c>
      <c r="D252" s="2" t="s">
        <v>1091</v>
      </c>
      <c r="E252" s="5">
        <f>VALUE("7426")</f>
        <v>7426</v>
      </c>
    </row>
    <row r="253" spans="1:5" x14ac:dyDescent="0.25">
      <c r="A253" s="2" t="s">
        <v>1087</v>
      </c>
      <c r="B253" s="2" t="s">
        <v>1088</v>
      </c>
      <c r="C253" s="5">
        <f>VALUE("2013")</f>
        <v>2013</v>
      </c>
      <c r="D253" s="2" t="s">
        <v>148</v>
      </c>
      <c r="E253" s="5">
        <f>VALUE("7422")</f>
        <v>7422</v>
      </c>
    </row>
    <row r="254" spans="1:5" x14ac:dyDescent="0.25">
      <c r="A254" s="2" t="s">
        <v>1086</v>
      </c>
      <c r="B254" s="2" t="s">
        <v>723</v>
      </c>
      <c r="C254" s="5">
        <f>VALUE("2013")</f>
        <v>2013</v>
      </c>
      <c r="D254" s="2" t="s">
        <v>723</v>
      </c>
      <c r="E254" s="5">
        <f>VALUE("7421")</f>
        <v>7421</v>
      </c>
    </row>
    <row r="255" spans="1:5" x14ac:dyDescent="0.25">
      <c r="A255" s="2" t="s">
        <v>1083</v>
      </c>
      <c r="B255" s="2" t="s">
        <v>1084</v>
      </c>
      <c r="C255" s="5">
        <v>2014</v>
      </c>
      <c r="D255" s="2" t="s">
        <v>1085</v>
      </c>
      <c r="E255" s="5">
        <f>VALUE("7419")</f>
        <v>7419</v>
      </c>
    </row>
    <row r="256" spans="1:5" x14ac:dyDescent="0.25">
      <c r="A256" s="2" t="s">
        <v>1080</v>
      </c>
      <c r="B256" s="2" t="s">
        <v>1081</v>
      </c>
      <c r="C256" s="5">
        <f>VALUE("2013")</f>
        <v>2013</v>
      </c>
      <c r="D256" s="2" t="s">
        <v>1082</v>
      </c>
      <c r="E256" s="5">
        <f>VALUE("7418")</f>
        <v>7418</v>
      </c>
    </row>
    <row r="257" spans="1:5" x14ac:dyDescent="0.25">
      <c r="A257" s="2" t="s">
        <v>1078</v>
      </c>
      <c r="B257" s="2" t="s">
        <v>1079</v>
      </c>
      <c r="C257" s="5">
        <v>2012</v>
      </c>
      <c r="D257" s="2" t="s">
        <v>552</v>
      </c>
      <c r="E257" s="5">
        <f>VALUE("7417")</f>
        <v>7417</v>
      </c>
    </row>
    <row r="258" spans="1:5" x14ac:dyDescent="0.25">
      <c r="A258" s="2" t="s">
        <v>1074</v>
      </c>
      <c r="B258" s="2" t="s">
        <v>1075</v>
      </c>
      <c r="C258" s="5">
        <f>VALUE("2013")</f>
        <v>2013</v>
      </c>
      <c r="D258" s="2" t="s">
        <v>1075</v>
      </c>
      <c r="E258" s="5">
        <f>VALUE("7415")</f>
        <v>7415</v>
      </c>
    </row>
    <row r="259" spans="1:5" x14ac:dyDescent="0.25">
      <c r="A259" s="2" t="s">
        <v>1076</v>
      </c>
      <c r="B259" s="2" t="s">
        <v>1075</v>
      </c>
      <c r="C259" s="5">
        <f>VALUE("2013")</f>
        <v>2013</v>
      </c>
      <c r="D259" s="2" t="s">
        <v>1075</v>
      </c>
      <c r="E259" s="5">
        <f>VALUE("7415")</f>
        <v>7415</v>
      </c>
    </row>
    <row r="260" spans="1:5" x14ac:dyDescent="0.25">
      <c r="A260" s="2" t="s">
        <v>1077</v>
      </c>
      <c r="B260" s="2" t="s">
        <v>1075</v>
      </c>
      <c r="C260" s="5">
        <f>VALUE("2013")</f>
        <v>2013</v>
      </c>
      <c r="D260" s="2" t="s">
        <v>1075</v>
      </c>
      <c r="E260" s="5">
        <f>VALUE("7415")</f>
        <v>7415</v>
      </c>
    </row>
    <row r="261" spans="1:5" x14ac:dyDescent="0.25">
      <c r="A261" s="2" t="s">
        <v>1071</v>
      </c>
      <c r="B261" s="2" t="s">
        <v>1072</v>
      </c>
      <c r="C261" s="5">
        <f>VALUE("2013")</f>
        <v>2013</v>
      </c>
      <c r="D261" s="2" t="s">
        <v>1073</v>
      </c>
      <c r="E261" s="5">
        <f>VALUE("7414")</f>
        <v>7414</v>
      </c>
    </row>
    <row r="262" spans="1:5" x14ac:dyDescent="0.25">
      <c r="A262" s="2" t="s">
        <v>1069</v>
      </c>
      <c r="B262" s="2" t="s">
        <v>1070</v>
      </c>
      <c r="C262" s="5">
        <f>VALUE("2013")</f>
        <v>2013</v>
      </c>
      <c r="D262" s="2" t="s">
        <v>552</v>
      </c>
      <c r="E262" s="5">
        <f>VALUE("7411")</f>
        <v>7411</v>
      </c>
    </row>
    <row r="263" spans="1:5" x14ac:dyDescent="0.25">
      <c r="A263" s="2" t="s">
        <v>1067</v>
      </c>
      <c r="B263" s="2" t="s">
        <v>1068</v>
      </c>
      <c r="C263" s="5">
        <f>VALUE("2013")</f>
        <v>2013</v>
      </c>
      <c r="D263" s="2" t="s">
        <v>925</v>
      </c>
      <c r="E263" s="5">
        <f>VALUE("7409")</f>
        <v>7409</v>
      </c>
    </row>
    <row r="264" spans="1:5" x14ac:dyDescent="0.25">
      <c r="A264" s="2" t="s">
        <v>1059</v>
      </c>
      <c r="B264" s="2" t="s">
        <v>1060</v>
      </c>
      <c r="C264" s="5">
        <f>VALUE("2015")</f>
        <v>2015</v>
      </c>
      <c r="D264" s="2" t="s">
        <v>534</v>
      </c>
      <c r="E264" s="5">
        <f>VALUE("7408")</f>
        <v>7408</v>
      </c>
    </row>
    <row r="265" spans="1:5" x14ac:dyDescent="0.25">
      <c r="A265" s="2" t="s">
        <v>1064</v>
      </c>
      <c r="B265" s="2" t="s">
        <v>1065</v>
      </c>
      <c r="C265" s="5">
        <f>VALUE("2015")</f>
        <v>2015</v>
      </c>
      <c r="D265" s="2" t="s">
        <v>1066</v>
      </c>
      <c r="E265" s="5">
        <f>VALUE("7408")</f>
        <v>7408</v>
      </c>
    </row>
    <row r="266" spans="1:5" x14ac:dyDescent="0.25">
      <c r="A266" s="2" t="s">
        <v>1056</v>
      </c>
      <c r="B266" s="2" t="s">
        <v>1057</v>
      </c>
      <c r="C266" s="5">
        <f>VALUE("2013")</f>
        <v>2013</v>
      </c>
      <c r="D266" s="2" t="s">
        <v>1058</v>
      </c>
      <c r="E266" s="5">
        <f>VALUE("7408")</f>
        <v>7408</v>
      </c>
    </row>
    <row r="267" spans="1:5" x14ac:dyDescent="0.25">
      <c r="A267" s="2" t="s">
        <v>1061</v>
      </c>
      <c r="B267" s="2" t="s">
        <v>1062</v>
      </c>
      <c r="C267" s="5">
        <f>VALUE("2013")</f>
        <v>2013</v>
      </c>
      <c r="D267" s="2" t="s">
        <v>1063</v>
      </c>
      <c r="E267" s="5">
        <f>VALUE("7408")</f>
        <v>7408</v>
      </c>
    </row>
    <row r="268" spans="1:5" x14ac:dyDescent="0.25">
      <c r="A268" s="2" t="s">
        <v>1053</v>
      </c>
      <c r="B268" s="2" t="s">
        <v>1054</v>
      </c>
      <c r="C268" s="5">
        <f>VALUE("2017")</f>
        <v>2017</v>
      </c>
      <c r="D268" s="2" t="s">
        <v>1055</v>
      </c>
      <c r="E268" s="5">
        <f>VALUE("7404")</f>
        <v>7404</v>
      </c>
    </row>
    <row r="269" spans="1:5" x14ac:dyDescent="0.25">
      <c r="A269" s="2" t="s">
        <v>1052</v>
      </c>
      <c r="B269" s="3" t="s">
        <v>1941</v>
      </c>
      <c r="C269" s="5">
        <f>VALUE("2012")</f>
        <v>2012</v>
      </c>
      <c r="D269" s="2" t="s">
        <v>717</v>
      </c>
      <c r="E269" s="5">
        <f>VALUE("7399")</f>
        <v>7399</v>
      </c>
    </row>
    <row r="270" spans="1:5" x14ac:dyDescent="0.25">
      <c r="A270" s="2" t="s">
        <v>1050</v>
      </c>
      <c r="B270" s="2" t="s">
        <v>1051</v>
      </c>
      <c r="C270" s="5">
        <f>VALUE("2014")</f>
        <v>2014</v>
      </c>
      <c r="D270" s="2" t="s">
        <v>203</v>
      </c>
      <c r="E270" s="5">
        <f>VALUE("7398")</f>
        <v>7398</v>
      </c>
    </row>
    <row r="271" spans="1:5" x14ac:dyDescent="0.25">
      <c r="A271" s="2" t="s">
        <v>1045</v>
      </c>
      <c r="B271" s="2" t="s">
        <v>1046</v>
      </c>
      <c r="C271" s="5">
        <f>VALUE("2013")</f>
        <v>2013</v>
      </c>
      <c r="D271" s="2" t="s">
        <v>203</v>
      </c>
      <c r="E271" s="5">
        <f>VALUE("7398")</f>
        <v>7398</v>
      </c>
    </row>
    <row r="272" spans="1:5" x14ac:dyDescent="0.25">
      <c r="A272" s="2" t="s">
        <v>1047</v>
      </c>
      <c r="B272" s="2" t="s">
        <v>1048</v>
      </c>
      <c r="C272" s="5">
        <f>VALUE("2013")</f>
        <v>2013</v>
      </c>
      <c r="D272" s="2" t="s">
        <v>1049</v>
      </c>
      <c r="E272" s="5">
        <f>VALUE("7398")</f>
        <v>7398</v>
      </c>
    </row>
    <row r="273" spans="1:5" x14ac:dyDescent="0.25">
      <c r="A273" s="2" t="s">
        <v>1042</v>
      </c>
      <c r="B273" s="2" t="s">
        <v>1043</v>
      </c>
      <c r="C273" s="5">
        <f>VALUE("2015")</f>
        <v>2015</v>
      </c>
      <c r="D273" s="2" t="s">
        <v>1044</v>
      </c>
      <c r="E273" s="5">
        <f>VALUE("7396")</f>
        <v>7396</v>
      </c>
    </row>
    <row r="274" spans="1:5" x14ac:dyDescent="0.25">
      <c r="A274" s="2" t="s">
        <v>1040</v>
      </c>
      <c r="B274" s="2" t="s">
        <v>1041</v>
      </c>
      <c r="C274" s="5">
        <f>VALUE("2016")</f>
        <v>2016</v>
      </c>
      <c r="D274" s="2" t="s">
        <v>476</v>
      </c>
      <c r="E274" s="5">
        <f>VALUE("7395")</f>
        <v>7395</v>
      </c>
    </row>
    <row r="275" spans="1:5" x14ac:dyDescent="0.25">
      <c r="A275" s="2" t="s">
        <v>679</v>
      </c>
      <c r="B275" s="2" t="s">
        <v>1033</v>
      </c>
      <c r="C275" s="5">
        <f>VALUE("2014")</f>
        <v>2014</v>
      </c>
      <c r="D275" s="2" t="s">
        <v>1034</v>
      </c>
      <c r="E275" s="5">
        <f>VALUE("7395")</f>
        <v>7395</v>
      </c>
    </row>
    <row r="276" spans="1:5" x14ac:dyDescent="0.25">
      <c r="A276" s="2" t="s">
        <v>1035</v>
      </c>
      <c r="B276" s="2" t="s">
        <v>1036</v>
      </c>
      <c r="C276" s="5">
        <f>VALUE("2014")</f>
        <v>2014</v>
      </c>
      <c r="D276" s="2" t="s">
        <v>1037</v>
      </c>
      <c r="E276" s="5">
        <f>VALUE("7395")</f>
        <v>7395</v>
      </c>
    </row>
    <row r="277" spans="1:5" x14ac:dyDescent="0.25">
      <c r="A277" s="2" t="s">
        <v>1942</v>
      </c>
      <c r="B277" s="2" t="s">
        <v>1038</v>
      </c>
      <c r="C277" s="5">
        <f>VALUE("2014")</f>
        <v>2014</v>
      </c>
      <c r="D277" s="2" t="s">
        <v>1039</v>
      </c>
      <c r="E277" s="5">
        <f>VALUE("7395")</f>
        <v>7395</v>
      </c>
    </row>
    <row r="278" spans="1:5" x14ac:dyDescent="0.25">
      <c r="A278" s="2" t="s">
        <v>1030</v>
      </c>
      <c r="B278" s="2" t="s">
        <v>1031</v>
      </c>
      <c r="C278" s="5">
        <f>VALUE("2014")</f>
        <v>2014</v>
      </c>
      <c r="D278" s="2" t="s">
        <v>1032</v>
      </c>
      <c r="E278" s="5">
        <f>VALUE("7394")</f>
        <v>7394</v>
      </c>
    </row>
    <row r="279" spans="1:5" x14ac:dyDescent="0.25">
      <c r="A279" s="2" t="s">
        <v>1943</v>
      </c>
      <c r="B279" s="2" t="s">
        <v>1029</v>
      </c>
      <c r="C279" s="5">
        <f>VALUE("2013")</f>
        <v>2013</v>
      </c>
      <c r="D279" s="2" t="s">
        <v>1028</v>
      </c>
      <c r="E279" s="5">
        <f>VALUE("7392")</f>
        <v>7392</v>
      </c>
    </row>
    <row r="280" spans="1:5" x14ac:dyDescent="0.25">
      <c r="A280" s="2" t="s">
        <v>1944</v>
      </c>
      <c r="C280" s="5">
        <v>2012</v>
      </c>
      <c r="D280" s="2" t="s">
        <v>1028</v>
      </c>
      <c r="E280" s="5">
        <f>VALUE("7392")</f>
        <v>7392</v>
      </c>
    </row>
    <row r="281" spans="1:5" x14ac:dyDescent="0.25">
      <c r="A281" s="2" t="s">
        <v>1945</v>
      </c>
      <c r="B281" s="2" t="s">
        <v>1027</v>
      </c>
      <c r="C281" s="5">
        <f>VALUE("2013")</f>
        <v>2013</v>
      </c>
      <c r="D281" s="2" t="s">
        <v>723</v>
      </c>
      <c r="E281" s="5">
        <f>VALUE("7386")</f>
        <v>7386</v>
      </c>
    </row>
    <row r="282" spans="1:5" x14ac:dyDescent="0.25">
      <c r="A282" s="2" t="s">
        <v>1946</v>
      </c>
      <c r="B282" s="2" t="s">
        <v>1025</v>
      </c>
      <c r="C282" s="5">
        <f>VALUE("2014")</f>
        <v>2014</v>
      </c>
      <c r="D282" s="2" t="s">
        <v>1026</v>
      </c>
      <c r="E282" s="5">
        <f>VALUE("7384")</f>
        <v>7384</v>
      </c>
    </row>
    <row r="283" spans="1:5" x14ac:dyDescent="0.25">
      <c r="A283" s="2" t="s">
        <v>1022</v>
      </c>
      <c r="B283" s="2" t="s">
        <v>1023</v>
      </c>
      <c r="C283" s="5">
        <f>VALUE("2014")</f>
        <v>2014</v>
      </c>
      <c r="D283" s="2" t="s">
        <v>1024</v>
      </c>
      <c r="E283" s="5">
        <f>VALUE("7380")</f>
        <v>7380</v>
      </c>
    </row>
    <row r="284" spans="1:5" x14ac:dyDescent="0.25">
      <c r="A284" s="2" t="s">
        <v>1021</v>
      </c>
      <c r="B284" s="2" t="s">
        <v>2124</v>
      </c>
      <c r="C284" s="5">
        <f>VALUE("2013")</f>
        <v>2013</v>
      </c>
      <c r="D284" s="2" t="s">
        <v>723</v>
      </c>
      <c r="E284" s="5">
        <f>VALUE("7377")</f>
        <v>7377</v>
      </c>
    </row>
    <row r="285" spans="1:5" x14ac:dyDescent="0.25">
      <c r="A285" s="2" t="s">
        <v>1020</v>
      </c>
      <c r="C285" s="5">
        <f>VALUE("2013")</f>
        <v>2013</v>
      </c>
      <c r="D285" s="2" t="s">
        <v>657</v>
      </c>
      <c r="E285" s="5">
        <f>VALUE("7375")</f>
        <v>7375</v>
      </c>
    </row>
    <row r="286" spans="1:5" x14ac:dyDescent="0.25">
      <c r="A286" s="2" t="s">
        <v>1017</v>
      </c>
      <c r="B286" s="2" t="s">
        <v>1018</v>
      </c>
      <c r="C286" s="5">
        <f>VALUE("2013")</f>
        <v>2013</v>
      </c>
      <c r="D286" s="2" t="s">
        <v>1019</v>
      </c>
      <c r="E286" s="5">
        <f>VALUE("7373")</f>
        <v>7373</v>
      </c>
    </row>
    <row r="287" spans="1:5" x14ac:dyDescent="0.25">
      <c r="A287" s="2" t="s">
        <v>1014</v>
      </c>
      <c r="B287" s="2" t="s">
        <v>1015</v>
      </c>
      <c r="C287" s="5">
        <f>VALUE("2014")</f>
        <v>2014</v>
      </c>
      <c r="D287" s="2" t="s">
        <v>1016</v>
      </c>
      <c r="E287" s="5">
        <f>VALUE("7371")</f>
        <v>7371</v>
      </c>
    </row>
    <row r="288" spans="1:5" x14ac:dyDescent="0.25">
      <c r="A288" s="2" t="s">
        <v>1011</v>
      </c>
      <c r="B288" s="2" t="s">
        <v>1012</v>
      </c>
      <c r="C288" s="5">
        <f>VALUE("2014")</f>
        <v>2014</v>
      </c>
      <c r="D288" s="2" t="s">
        <v>1013</v>
      </c>
      <c r="E288" s="5">
        <f>VALUE("7368")</f>
        <v>7368</v>
      </c>
    </row>
    <row r="289" spans="1:5" x14ac:dyDescent="0.25">
      <c r="A289" s="2" t="s">
        <v>1947</v>
      </c>
      <c r="B289" s="2" t="s">
        <v>1009</v>
      </c>
      <c r="C289" s="5">
        <f>VALUE("2012")</f>
        <v>2012</v>
      </c>
      <c r="D289" s="2" t="s">
        <v>1010</v>
      </c>
      <c r="E289" s="5">
        <f>VALUE("7365")</f>
        <v>7365</v>
      </c>
    </row>
    <row r="290" spans="1:5" x14ac:dyDescent="0.25">
      <c r="A290" s="2" t="s">
        <v>1948</v>
      </c>
      <c r="B290" s="2" t="s">
        <v>1009</v>
      </c>
      <c r="C290" s="5">
        <f>VALUE("2012")</f>
        <v>2012</v>
      </c>
      <c r="D290" s="2" t="s">
        <v>1010</v>
      </c>
      <c r="E290" s="5">
        <f>VALUE("7365")</f>
        <v>7365</v>
      </c>
    </row>
    <row r="291" spans="1:5" x14ac:dyDescent="0.25">
      <c r="A291" s="2" t="s">
        <v>1007</v>
      </c>
      <c r="B291" s="2" t="s">
        <v>1008</v>
      </c>
      <c r="C291" s="5">
        <f>VALUE("2012")</f>
        <v>2012</v>
      </c>
      <c r="D291" s="2" t="s">
        <v>937</v>
      </c>
      <c r="E291" s="5">
        <f>VALUE("7353")</f>
        <v>7353</v>
      </c>
    </row>
    <row r="292" spans="1:5" x14ac:dyDescent="0.25">
      <c r="A292" s="2" t="s">
        <v>1005</v>
      </c>
      <c r="B292" s="2" t="s">
        <v>1004</v>
      </c>
      <c r="C292" s="5">
        <f>VALUE("2014")</f>
        <v>2014</v>
      </c>
      <c r="D292" s="2" t="s">
        <v>1006</v>
      </c>
      <c r="E292" s="5">
        <f>VALUE("7352")</f>
        <v>7352</v>
      </c>
    </row>
    <row r="293" spans="1:5" x14ac:dyDescent="0.25">
      <c r="A293" s="2" t="s">
        <v>1003</v>
      </c>
      <c r="B293" s="2" t="s">
        <v>1004</v>
      </c>
      <c r="C293" s="5">
        <f>VALUE("2013")</f>
        <v>2013</v>
      </c>
      <c r="D293" s="2" t="s">
        <v>474</v>
      </c>
      <c r="E293" s="5">
        <f>VALUE("7352")</f>
        <v>7352</v>
      </c>
    </row>
    <row r="294" spans="1:5" x14ac:dyDescent="0.25">
      <c r="A294" s="2" t="s">
        <v>998</v>
      </c>
      <c r="B294" s="2" t="s">
        <v>999</v>
      </c>
      <c r="C294" s="5">
        <f>VALUE("2013")</f>
        <v>2013</v>
      </c>
      <c r="D294" s="2" t="s">
        <v>1000</v>
      </c>
      <c r="E294" s="5">
        <f>VALUE("7351")</f>
        <v>7351</v>
      </c>
    </row>
    <row r="295" spans="1:5" x14ac:dyDescent="0.25">
      <c r="A295" s="2" t="s">
        <v>1001</v>
      </c>
      <c r="B295" s="2" t="s">
        <v>1002</v>
      </c>
      <c r="C295" s="5">
        <f>VALUE("2013")</f>
        <v>2013</v>
      </c>
      <c r="D295" s="2" t="s">
        <v>106</v>
      </c>
      <c r="E295" s="5">
        <f>VALUE("7351")</f>
        <v>7351</v>
      </c>
    </row>
    <row r="296" spans="1:5" x14ac:dyDescent="0.25">
      <c r="A296" s="2" t="s">
        <v>1949</v>
      </c>
      <c r="B296" s="2" t="s">
        <v>996</v>
      </c>
      <c r="C296" s="5">
        <f>VALUE("2012")</f>
        <v>2012</v>
      </c>
      <c r="D296" s="2" t="s">
        <v>997</v>
      </c>
      <c r="E296" s="5">
        <f>VALUE("7350")</f>
        <v>7350</v>
      </c>
    </row>
    <row r="297" spans="1:5" x14ac:dyDescent="0.25">
      <c r="A297" s="3" t="s">
        <v>1950</v>
      </c>
      <c r="B297" s="2" t="s">
        <v>991</v>
      </c>
      <c r="C297" s="5">
        <f>VALUE("2014")</f>
        <v>2014</v>
      </c>
      <c r="D297" s="2" t="s">
        <v>992</v>
      </c>
      <c r="E297" s="5">
        <f>VALUE("7347")</f>
        <v>7347</v>
      </c>
    </row>
    <row r="298" spans="1:5" x14ac:dyDescent="0.25">
      <c r="A298" s="2" t="s">
        <v>993</v>
      </c>
      <c r="B298" s="2" t="s">
        <v>994</v>
      </c>
      <c r="C298" s="5">
        <f>VALUE("2014")</f>
        <v>2014</v>
      </c>
      <c r="D298" s="2" t="s">
        <v>995</v>
      </c>
      <c r="E298" s="5">
        <f>VALUE("7347")</f>
        <v>7347</v>
      </c>
    </row>
    <row r="299" spans="1:5" x14ac:dyDescent="0.25">
      <c r="A299" s="2" t="s">
        <v>990</v>
      </c>
      <c r="B299" s="2" t="s">
        <v>2122</v>
      </c>
      <c r="C299" s="5">
        <f>VALUE("2012")</f>
        <v>2012</v>
      </c>
      <c r="D299" s="2" t="s">
        <v>591</v>
      </c>
      <c r="E299" s="5">
        <f>VALUE("7346")</f>
        <v>7346</v>
      </c>
    </row>
    <row r="300" spans="1:5" x14ac:dyDescent="0.25">
      <c r="A300" s="2" t="s">
        <v>1951</v>
      </c>
      <c r="B300" s="2" t="s">
        <v>2123</v>
      </c>
      <c r="C300" s="5">
        <f>VALUE("2013")</f>
        <v>2013</v>
      </c>
      <c r="D300" s="2" t="s">
        <v>989</v>
      </c>
      <c r="E300" s="5">
        <f>VALUE("7345")</f>
        <v>7345</v>
      </c>
    </row>
    <row r="301" spans="1:5" x14ac:dyDescent="0.25">
      <c r="A301" s="2" t="s">
        <v>987</v>
      </c>
      <c r="B301" s="2" t="s">
        <v>988</v>
      </c>
      <c r="C301" s="5">
        <f>VALUE("2013")</f>
        <v>2013</v>
      </c>
      <c r="D301" s="2" t="s">
        <v>717</v>
      </c>
      <c r="E301" s="5">
        <f>VALUE("7340")</f>
        <v>7340</v>
      </c>
    </row>
    <row r="302" spans="1:5" x14ac:dyDescent="0.25">
      <c r="A302" s="2" t="s">
        <v>985</v>
      </c>
      <c r="B302" s="2" t="s">
        <v>986</v>
      </c>
      <c r="C302" s="5">
        <f>VALUE("2013")</f>
        <v>2013</v>
      </c>
      <c r="D302" s="2" t="s">
        <v>552</v>
      </c>
      <c r="E302" s="5">
        <f>VALUE("7336")</f>
        <v>7336</v>
      </c>
    </row>
    <row r="303" spans="1:5" x14ac:dyDescent="0.25">
      <c r="A303" s="2" t="s">
        <v>984</v>
      </c>
      <c r="C303" s="5">
        <f>VALUE("2012")</f>
        <v>2012</v>
      </c>
      <c r="D303" s="2" t="s">
        <v>203</v>
      </c>
      <c r="E303" s="5">
        <f>VALUE("7332")</f>
        <v>7332</v>
      </c>
    </row>
    <row r="304" spans="1:5" x14ac:dyDescent="0.25">
      <c r="A304" s="2" t="s">
        <v>983</v>
      </c>
      <c r="B304" s="2" t="s">
        <v>142</v>
      </c>
      <c r="C304" s="5">
        <f>VALUE("2012")</f>
        <v>2012</v>
      </c>
      <c r="D304" s="2" t="s">
        <v>552</v>
      </c>
      <c r="E304" s="5">
        <f>VALUE("7331")</f>
        <v>7331</v>
      </c>
    </row>
    <row r="305" spans="1:5" x14ac:dyDescent="0.25">
      <c r="A305" s="2" t="s">
        <v>1952</v>
      </c>
      <c r="B305" s="3" t="s">
        <v>1953</v>
      </c>
      <c r="C305" s="5">
        <f>VALUE("2014")</f>
        <v>2014</v>
      </c>
      <c r="D305" s="2" t="s">
        <v>982</v>
      </c>
      <c r="E305" s="5">
        <f>VALUE("7329")</f>
        <v>7329</v>
      </c>
    </row>
    <row r="306" spans="1:5" x14ac:dyDescent="0.25">
      <c r="A306" s="2" t="s">
        <v>1954</v>
      </c>
      <c r="B306" s="2" t="s">
        <v>980</v>
      </c>
      <c r="C306" s="5">
        <v>2014</v>
      </c>
      <c r="D306" s="2" t="s">
        <v>981</v>
      </c>
      <c r="E306" s="5">
        <f>VALUE("7328")</f>
        <v>7328</v>
      </c>
    </row>
    <row r="307" spans="1:5" x14ac:dyDescent="0.25">
      <c r="A307" s="2" t="s">
        <v>975</v>
      </c>
      <c r="B307" s="2" t="s">
        <v>976</v>
      </c>
      <c r="C307" s="5">
        <f>VALUE("2014")</f>
        <v>2014</v>
      </c>
      <c r="D307" s="2" t="s">
        <v>977</v>
      </c>
      <c r="E307" s="5">
        <f>VALUE("7327")</f>
        <v>7327</v>
      </c>
    </row>
    <row r="308" spans="1:5" x14ac:dyDescent="0.25">
      <c r="A308" s="2" t="s">
        <v>1955</v>
      </c>
      <c r="B308" s="2" t="s">
        <v>978</v>
      </c>
      <c r="C308" s="5">
        <f>VALUE("2014")</f>
        <v>2014</v>
      </c>
      <c r="D308" s="2" t="s">
        <v>979</v>
      </c>
      <c r="E308" s="5">
        <f>VALUE("7327")</f>
        <v>7327</v>
      </c>
    </row>
    <row r="309" spans="1:5" x14ac:dyDescent="0.25">
      <c r="A309" s="2" t="s">
        <v>973</v>
      </c>
      <c r="B309" s="2" t="s">
        <v>974</v>
      </c>
      <c r="C309" s="5">
        <f>VALUE("2012")</f>
        <v>2012</v>
      </c>
      <c r="D309" s="2" t="s">
        <v>723</v>
      </c>
      <c r="E309" s="5">
        <f>VALUE("7324")</f>
        <v>7324</v>
      </c>
    </row>
    <row r="310" spans="1:5" x14ac:dyDescent="0.25">
      <c r="A310" s="2" t="s">
        <v>972</v>
      </c>
      <c r="B310" s="2" t="s">
        <v>723</v>
      </c>
      <c r="C310" s="5">
        <f>VALUE("2013")</f>
        <v>2013</v>
      </c>
      <c r="D310" s="2" t="s">
        <v>723</v>
      </c>
      <c r="E310" s="5">
        <f>VALUE("7323")</f>
        <v>7323</v>
      </c>
    </row>
    <row r="311" spans="1:5" x14ac:dyDescent="0.25">
      <c r="A311" s="2" t="s">
        <v>970</v>
      </c>
      <c r="B311" s="2" t="s">
        <v>971</v>
      </c>
      <c r="C311" s="5">
        <f>VALUE("2013")</f>
        <v>2013</v>
      </c>
      <c r="D311" s="2" t="s">
        <v>969</v>
      </c>
      <c r="E311" s="5">
        <f>VALUE("7322")</f>
        <v>7322</v>
      </c>
    </row>
    <row r="312" spans="1:5" x14ac:dyDescent="0.25">
      <c r="A312" s="2" t="s">
        <v>1956</v>
      </c>
      <c r="B312" s="2" t="s">
        <v>966</v>
      </c>
      <c r="C312" s="5">
        <f>VALUE("2012")</f>
        <v>2012</v>
      </c>
      <c r="D312" s="2" t="s">
        <v>967</v>
      </c>
      <c r="E312" s="5">
        <f>VALUE("7322")</f>
        <v>7322</v>
      </c>
    </row>
    <row r="313" spans="1:5" x14ac:dyDescent="0.25">
      <c r="A313" s="2" t="s">
        <v>968</v>
      </c>
      <c r="B313" s="2" t="s">
        <v>966</v>
      </c>
      <c r="C313" s="5">
        <f>VALUE("2012")</f>
        <v>2012</v>
      </c>
      <c r="D313" s="2" t="s">
        <v>969</v>
      </c>
      <c r="E313" s="5">
        <f>VALUE("7322")</f>
        <v>7322</v>
      </c>
    </row>
    <row r="314" spans="1:5" x14ac:dyDescent="0.25">
      <c r="A314" s="2" t="s">
        <v>961</v>
      </c>
      <c r="B314" s="2" t="s">
        <v>962</v>
      </c>
      <c r="C314" s="5">
        <f>VALUE("2014")</f>
        <v>2014</v>
      </c>
      <c r="D314" s="2" t="s">
        <v>963</v>
      </c>
      <c r="E314" s="5">
        <f>VALUE("7320")</f>
        <v>7320</v>
      </c>
    </row>
    <row r="315" spans="1:5" x14ac:dyDescent="0.25">
      <c r="A315" s="2" t="s">
        <v>964</v>
      </c>
      <c r="B315" s="2" t="s">
        <v>962</v>
      </c>
      <c r="C315" s="5">
        <f>VALUE("2014")</f>
        <v>2014</v>
      </c>
      <c r="D315" s="2" t="s">
        <v>965</v>
      </c>
      <c r="E315" s="5">
        <f>VALUE("7320")</f>
        <v>7320</v>
      </c>
    </row>
    <row r="316" spans="1:5" x14ac:dyDescent="0.25">
      <c r="A316" s="2" t="s">
        <v>958</v>
      </c>
      <c r="B316" s="2" t="s">
        <v>959</v>
      </c>
      <c r="C316" s="5">
        <f>VALUE("2014")</f>
        <v>2014</v>
      </c>
      <c r="D316" s="2" t="s">
        <v>960</v>
      </c>
      <c r="E316" s="5">
        <f>VALUE("7316")</f>
        <v>7316</v>
      </c>
    </row>
    <row r="317" spans="1:5" x14ac:dyDescent="0.25">
      <c r="A317" s="2" t="s">
        <v>954</v>
      </c>
      <c r="B317" s="2" t="s">
        <v>955</v>
      </c>
      <c r="C317" s="5">
        <f>VALUE("2013")</f>
        <v>2013</v>
      </c>
      <c r="D317" s="2" t="s">
        <v>717</v>
      </c>
      <c r="E317" s="5">
        <f>VALUE("7315")</f>
        <v>7315</v>
      </c>
    </row>
    <row r="318" spans="1:5" x14ac:dyDescent="0.25">
      <c r="A318" s="2" t="s">
        <v>956</v>
      </c>
      <c r="B318" s="2" t="s">
        <v>957</v>
      </c>
      <c r="C318" s="5">
        <f>VALUE("2013")</f>
        <v>2013</v>
      </c>
      <c r="D318" s="2" t="s">
        <v>717</v>
      </c>
      <c r="E318" s="5">
        <f>VALUE("7315")</f>
        <v>7315</v>
      </c>
    </row>
    <row r="319" spans="1:5" x14ac:dyDescent="0.25">
      <c r="A319" s="2" t="s">
        <v>952</v>
      </c>
      <c r="B319" s="2" t="s">
        <v>953</v>
      </c>
      <c r="C319" s="5">
        <f>VALUE("2013")</f>
        <v>2013</v>
      </c>
      <c r="D319" s="2" t="s">
        <v>953</v>
      </c>
      <c r="E319" s="5">
        <f>VALUE("7314")</f>
        <v>7314</v>
      </c>
    </row>
    <row r="320" spans="1:5" x14ac:dyDescent="0.25">
      <c r="A320" s="2" t="s">
        <v>945</v>
      </c>
      <c r="B320" s="2" t="s">
        <v>2121</v>
      </c>
      <c r="C320" s="5">
        <f>VALUE("2014")</f>
        <v>2014</v>
      </c>
      <c r="E320" s="5">
        <f>VALUE("7312")</f>
        <v>7312</v>
      </c>
    </row>
    <row r="321" spans="1:5" x14ac:dyDescent="0.25">
      <c r="A321" s="2" t="s">
        <v>1957</v>
      </c>
      <c r="B321" s="2" t="s">
        <v>946</v>
      </c>
      <c r="C321" s="5">
        <f>VALUE("2014")</f>
        <v>2014</v>
      </c>
      <c r="D321" s="2" t="s">
        <v>947</v>
      </c>
      <c r="E321" s="5">
        <f>VALUE("7312")</f>
        <v>7312</v>
      </c>
    </row>
    <row r="322" spans="1:5" x14ac:dyDescent="0.25">
      <c r="A322" s="2" t="s">
        <v>950</v>
      </c>
      <c r="B322" s="2" t="s">
        <v>2121</v>
      </c>
      <c r="C322" s="5">
        <f>VALUE("2014")</f>
        <v>2014</v>
      </c>
      <c r="D322" s="2" t="s">
        <v>951</v>
      </c>
      <c r="E322" s="5">
        <f>VALUE("7312")</f>
        <v>7312</v>
      </c>
    </row>
    <row r="323" spans="1:5" x14ac:dyDescent="0.25">
      <c r="A323" s="2" t="s">
        <v>948</v>
      </c>
      <c r="B323" s="2" t="s">
        <v>949</v>
      </c>
      <c r="C323" s="5">
        <f>VALUE("2013")</f>
        <v>2013</v>
      </c>
      <c r="D323" s="2" t="s">
        <v>496</v>
      </c>
      <c r="E323" s="5">
        <f>VALUE("7312")</f>
        <v>7312</v>
      </c>
    </row>
    <row r="324" spans="1:5" x14ac:dyDescent="0.25">
      <c r="A324" s="2" t="s">
        <v>940</v>
      </c>
      <c r="B324" s="2" t="s">
        <v>941</v>
      </c>
      <c r="C324" s="5">
        <f>VALUE("2015")</f>
        <v>2015</v>
      </c>
      <c r="D324" s="2" t="s">
        <v>942</v>
      </c>
      <c r="E324" s="5">
        <f>VALUE("7310")</f>
        <v>7310</v>
      </c>
    </row>
    <row r="325" spans="1:5" x14ac:dyDescent="0.25">
      <c r="A325" s="2" t="s">
        <v>943</v>
      </c>
      <c r="B325" s="2" t="s">
        <v>944</v>
      </c>
      <c r="C325" s="5">
        <f>VALUE("2014")</f>
        <v>2014</v>
      </c>
      <c r="D325" s="2" t="s">
        <v>723</v>
      </c>
      <c r="E325" s="5">
        <f>VALUE("7310")</f>
        <v>7310</v>
      </c>
    </row>
    <row r="326" spans="1:5" x14ac:dyDescent="0.25">
      <c r="A326" s="2" t="s">
        <v>938</v>
      </c>
      <c r="B326" s="2" t="s">
        <v>939</v>
      </c>
      <c r="C326" s="5">
        <f>VALUE("2014")</f>
        <v>2014</v>
      </c>
      <c r="D326" s="2" t="s">
        <v>187</v>
      </c>
      <c r="E326" s="5">
        <f>VALUE("7309")</f>
        <v>7309</v>
      </c>
    </row>
    <row r="327" spans="1:5" x14ac:dyDescent="0.25">
      <c r="A327" s="2" t="s">
        <v>935</v>
      </c>
      <c r="B327" s="2" t="s">
        <v>936</v>
      </c>
      <c r="C327" s="5">
        <f>VALUE("2012")</f>
        <v>2012</v>
      </c>
      <c r="D327" s="2" t="s">
        <v>937</v>
      </c>
      <c r="E327" s="5">
        <f>VALUE("7307")</f>
        <v>7307</v>
      </c>
    </row>
    <row r="328" spans="1:5" x14ac:dyDescent="0.25">
      <c r="A328" s="2" t="s">
        <v>933</v>
      </c>
      <c r="B328" s="2" t="s">
        <v>934</v>
      </c>
      <c r="C328" s="5">
        <f>VALUE("2013")</f>
        <v>2013</v>
      </c>
      <c r="D328" s="2" t="s">
        <v>203</v>
      </c>
      <c r="E328" s="5">
        <f>VALUE("7306")</f>
        <v>7306</v>
      </c>
    </row>
    <row r="329" spans="1:5" x14ac:dyDescent="0.25">
      <c r="A329" s="2" t="s">
        <v>931</v>
      </c>
      <c r="B329" s="2" t="s">
        <v>2120</v>
      </c>
      <c r="C329" s="5">
        <v>2014</v>
      </c>
      <c r="D329" s="2" t="s">
        <v>932</v>
      </c>
      <c r="E329" s="5">
        <f>VALUE("7305")</f>
        <v>7305</v>
      </c>
    </row>
    <row r="330" spans="1:5" x14ac:dyDescent="0.25">
      <c r="A330" s="2" t="s">
        <v>929</v>
      </c>
      <c r="B330" s="2" t="s">
        <v>930</v>
      </c>
      <c r="C330" s="5">
        <f>VALUE("2013")</f>
        <v>2013</v>
      </c>
      <c r="D330" s="2" t="s">
        <v>735</v>
      </c>
      <c r="E330" s="5">
        <f>VALUE("7302")</f>
        <v>7302</v>
      </c>
    </row>
    <row r="331" spans="1:5" x14ac:dyDescent="0.25">
      <c r="A331" s="2" t="s">
        <v>926</v>
      </c>
      <c r="B331" s="2" t="s">
        <v>927</v>
      </c>
      <c r="C331" s="5">
        <f>VALUE("2014")</f>
        <v>2014</v>
      </c>
      <c r="D331" s="2" t="s">
        <v>928</v>
      </c>
      <c r="E331" s="5">
        <f>VALUE("7297")</f>
        <v>7297</v>
      </c>
    </row>
    <row r="332" spans="1:5" x14ac:dyDescent="0.25">
      <c r="A332" s="2" t="s">
        <v>923</v>
      </c>
      <c r="B332" s="2" t="s">
        <v>924</v>
      </c>
      <c r="C332" s="5">
        <f>VALUE("2012")</f>
        <v>2012</v>
      </c>
      <c r="D332" s="2" t="s">
        <v>925</v>
      </c>
      <c r="E332" s="5">
        <f>VALUE("7295")</f>
        <v>7295</v>
      </c>
    </row>
    <row r="333" spans="1:5" x14ac:dyDescent="0.25">
      <c r="A333" s="2" t="s">
        <v>920</v>
      </c>
      <c r="B333" s="2" t="s">
        <v>921</v>
      </c>
      <c r="C333" s="5">
        <f>VALUE("2013")</f>
        <v>2013</v>
      </c>
      <c r="D333" s="2" t="s">
        <v>922</v>
      </c>
      <c r="E333" s="5">
        <f>VALUE("7294")</f>
        <v>7294</v>
      </c>
    </row>
    <row r="334" spans="1:5" x14ac:dyDescent="0.25">
      <c r="A334" s="2" t="s">
        <v>914</v>
      </c>
      <c r="B334" s="2" t="s">
        <v>915</v>
      </c>
      <c r="C334" s="5">
        <f>VALUE("2013")</f>
        <v>2013</v>
      </c>
      <c r="D334" s="2" t="s">
        <v>916</v>
      </c>
      <c r="E334" s="5">
        <f>VALUE("7293")</f>
        <v>7293</v>
      </c>
    </row>
    <row r="335" spans="1:5" x14ac:dyDescent="0.25">
      <c r="A335" s="2" t="s">
        <v>917</v>
      </c>
      <c r="B335" s="2" t="s">
        <v>918</v>
      </c>
      <c r="C335" s="5">
        <f>VALUE("2013")</f>
        <v>2013</v>
      </c>
      <c r="D335" s="2" t="s">
        <v>919</v>
      </c>
      <c r="E335" s="5">
        <f>VALUE("7293")</f>
        <v>7293</v>
      </c>
    </row>
    <row r="336" spans="1:5" x14ac:dyDescent="0.25">
      <c r="A336" s="2" t="s">
        <v>912</v>
      </c>
      <c r="B336" s="2" t="s">
        <v>913</v>
      </c>
      <c r="C336" s="5">
        <f>VALUE("2012")</f>
        <v>2012</v>
      </c>
      <c r="D336" s="2" t="s">
        <v>717</v>
      </c>
      <c r="E336" s="5">
        <f>VALUE("7292")</f>
        <v>7292</v>
      </c>
    </row>
    <row r="337" spans="1:5" x14ac:dyDescent="0.25">
      <c r="A337" s="2" t="s">
        <v>910</v>
      </c>
      <c r="B337" s="2" t="s">
        <v>911</v>
      </c>
      <c r="C337" s="5">
        <f>VALUE("2012")</f>
        <v>2012</v>
      </c>
      <c r="D337" s="2" t="s">
        <v>759</v>
      </c>
      <c r="E337" s="5">
        <f>VALUE("7288")</f>
        <v>7288</v>
      </c>
    </row>
    <row r="338" spans="1:5" x14ac:dyDescent="0.25">
      <c r="A338" s="2" t="s">
        <v>907</v>
      </c>
      <c r="B338" s="2" t="s">
        <v>908</v>
      </c>
      <c r="C338" s="5">
        <f>VALUE("2015")</f>
        <v>2015</v>
      </c>
      <c r="D338" s="2" t="s">
        <v>909</v>
      </c>
      <c r="E338" s="5">
        <f>VALUE("7285")</f>
        <v>7285</v>
      </c>
    </row>
    <row r="339" spans="1:5" x14ac:dyDescent="0.25">
      <c r="A339" s="2" t="s">
        <v>905</v>
      </c>
      <c r="B339" s="2" t="s">
        <v>906</v>
      </c>
      <c r="C339" s="5">
        <f>VALUE("2014")</f>
        <v>2014</v>
      </c>
      <c r="D339" s="2" t="s">
        <v>723</v>
      </c>
      <c r="E339" s="5">
        <f>VALUE("7283")</f>
        <v>7283</v>
      </c>
    </row>
    <row r="340" spans="1:5" x14ac:dyDescent="0.25">
      <c r="A340" s="2" t="s">
        <v>1958</v>
      </c>
      <c r="B340" s="2" t="s">
        <v>903</v>
      </c>
      <c r="C340" s="5">
        <v>2015</v>
      </c>
      <c r="D340" s="2" t="s">
        <v>904</v>
      </c>
      <c r="E340" s="5">
        <f>VALUE("7282")</f>
        <v>7282</v>
      </c>
    </row>
    <row r="341" spans="1:5" x14ac:dyDescent="0.25">
      <c r="A341" s="2" t="s">
        <v>895</v>
      </c>
      <c r="B341" s="2" t="s">
        <v>2118</v>
      </c>
      <c r="C341" s="5">
        <f>VALUE("2014")</f>
        <v>2014</v>
      </c>
      <c r="D341" s="2" t="s">
        <v>896</v>
      </c>
      <c r="E341" s="5">
        <f>VALUE("7282")</f>
        <v>7282</v>
      </c>
    </row>
    <row r="342" spans="1:5" x14ac:dyDescent="0.25">
      <c r="A342" s="2" t="s">
        <v>899</v>
      </c>
      <c r="B342" s="2" t="s">
        <v>2119</v>
      </c>
      <c r="C342" s="5">
        <f>VALUE("2014")</f>
        <v>2014</v>
      </c>
      <c r="D342" s="2" t="s">
        <v>900</v>
      </c>
      <c r="E342" s="5">
        <f>VALUE("7282")</f>
        <v>7282</v>
      </c>
    </row>
    <row r="343" spans="1:5" x14ac:dyDescent="0.25">
      <c r="A343" s="2" t="s">
        <v>901</v>
      </c>
      <c r="B343" s="2" t="s">
        <v>2115</v>
      </c>
      <c r="C343" s="5">
        <f>VALUE("2013")</f>
        <v>2013</v>
      </c>
      <c r="D343" s="2" t="s">
        <v>902</v>
      </c>
      <c r="E343" s="5">
        <f>VALUE("7282")</f>
        <v>7282</v>
      </c>
    </row>
    <row r="344" spans="1:5" x14ac:dyDescent="0.25">
      <c r="A344" s="2" t="s">
        <v>897</v>
      </c>
      <c r="B344" s="2" t="s">
        <v>2116</v>
      </c>
      <c r="C344" s="5">
        <f>VALUE("2012")</f>
        <v>2012</v>
      </c>
      <c r="D344" s="2" t="s">
        <v>898</v>
      </c>
      <c r="E344" s="5">
        <f>VALUE("7282")</f>
        <v>7282</v>
      </c>
    </row>
    <row r="345" spans="1:5" x14ac:dyDescent="0.25">
      <c r="A345" s="2" t="s">
        <v>893</v>
      </c>
      <c r="B345" s="2" t="s">
        <v>2117</v>
      </c>
      <c r="C345" s="5">
        <f>VALUE("2011")</f>
        <v>2011</v>
      </c>
      <c r="D345" s="2" t="s">
        <v>894</v>
      </c>
      <c r="E345" s="5">
        <f>VALUE("7282")</f>
        <v>7282</v>
      </c>
    </row>
    <row r="346" spans="1:5" x14ac:dyDescent="0.25">
      <c r="A346" s="2" t="s">
        <v>201</v>
      </c>
      <c r="B346" s="2" t="s">
        <v>2118</v>
      </c>
      <c r="C346" s="5">
        <f>VALUE("2011")</f>
        <v>2011</v>
      </c>
      <c r="D346" s="2" t="s">
        <v>203</v>
      </c>
      <c r="E346" s="5">
        <f>VALUE("7282")</f>
        <v>7282</v>
      </c>
    </row>
    <row r="347" spans="1:5" x14ac:dyDescent="0.25">
      <c r="A347" s="2" t="s">
        <v>891</v>
      </c>
      <c r="C347" s="5">
        <f>VALUE("2014")</f>
        <v>2014</v>
      </c>
      <c r="D347" s="2" t="s">
        <v>892</v>
      </c>
      <c r="E347" s="5">
        <f>VALUE("7279")</f>
        <v>7279</v>
      </c>
    </row>
    <row r="348" spans="1:5" x14ac:dyDescent="0.25">
      <c r="A348" s="2" t="s">
        <v>888</v>
      </c>
      <c r="B348" s="2" t="s">
        <v>889</v>
      </c>
      <c r="C348" s="5">
        <v>2015</v>
      </c>
      <c r="D348" s="2" t="s">
        <v>890</v>
      </c>
      <c r="E348" s="5">
        <f>VALUE("7277")</f>
        <v>7277</v>
      </c>
    </row>
    <row r="349" spans="1:5" x14ac:dyDescent="0.25">
      <c r="A349" s="3" t="s">
        <v>1959</v>
      </c>
      <c r="B349" s="2" t="s">
        <v>886</v>
      </c>
      <c r="C349" s="5">
        <f>VALUE("2014")</f>
        <v>2014</v>
      </c>
      <c r="D349" s="2" t="s">
        <v>887</v>
      </c>
      <c r="E349" s="5">
        <f>VALUE("7277")</f>
        <v>7277</v>
      </c>
    </row>
    <row r="350" spans="1:5" x14ac:dyDescent="0.25">
      <c r="A350" s="2" t="s">
        <v>876</v>
      </c>
      <c r="B350" s="2" t="s">
        <v>877</v>
      </c>
      <c r="C350" s="5">
        <f>VALUE("2013")</f>
        <v>2013</v>
      </c>
      <c r="D350" s="2" t="s">
        <v>657</v>
      </c>
      <c r="E350" s="5">
        <f>VALUE("7276")</f>
        <v>7276</v>
      </c>
    </row>
    <row r="351" spans="1:5" x14ac:dyDescent="0.25">
      <c r="A351" s="2" t="s">
        <v>878</v>
      </c>
      <c r="B351" s="2" t="s">
        <v>879</v>
      </c>
      <c r="C351" s="5">
        <f>VALUE("2013")</f>
        <v>2013</v>
      </c>
      <c r="D351" s="2" t="s">
        <v>880</v>
      </c>
      <c r="E351" s="5">
        <f>VALUE("7276")</f>
        <v>7276</v>
      </c>
    </row>
    <row r="352" spans="1:5" x14ac:dyDescent="0.25">
      <c r="A352" s="2" t="s">
        <v>881</v>
      </c>
      <c r="B352" s="2" t="s">
        <v>882</v>
      </c>
      <c r="C352" s="5">
        <f>VALUE("2012")</f>
        <v>2012</v>
      </c>
      <c r="D352" s="2" t="s">
        <v>187</v>
      </c>
      <c r="E352" s="5">
        <f>VALUE("7276")</f>
        <v>7276</v>
      </c>
    </row>
    <row r="353" spans="1:5" x14ac:dyDescent="0.25">
      <c r="A353" s="2" t="s">
        <v>883</v>
      </c>
      <c r="B353" s="2" t="s">
        <v>884</v>
      </c>
      <c r="C353" s="5">
        <f>VALUE("2012")</f>
        <v>2012</v>
      </c>
      <c r="D353" s="2" t="s">
        <v>885</v>
      </c>
      <c r="E353" s="5">
        <f>VALUE("7276")</f>
        <v>7276</v>
      </c>
    </row>
    <row r="354" spans="1:5" x14ac:dyDescent="0.25">
      <c r="A354" s="2" t="s">
        <v>868</v>
      </c>
      <c r="B354" s="2" t="s">
        <v>869</v>
      </c>
      <c r="C354" s="5">
        <f>VALUE("2015")</f>
        <v>2015</v>
      </c>
      <c r="D354" s="2" t="s">
        <v>870</v>
      </c>
      <c r="E354" s="5">
        <f>VALUE("7273")</f>
        <v>7273</v>
      </c>
    </row>
    <row r="355" spans="1:5" x14ac:dyDescent="0.25">
      <c r="A355" s="2" t="s">
        <v>1960</v>
      </c>
      <c r="B355" s="2" t="s">
        <v>871</v>
      </c>
      <c r="C355" s="5">
        <f>VALUE("2015")</f>
        <v>2015</v>
      </c>
      <c r="D355" s="2" t="s">
        <v>872</v>
      </c>
      <c r="E355" s="5">
        <f>VALUE("7273")</f>
        <v>7273</v>
      </c>
    </row>
    <row r="356" spans="1:5" x14ac:dyDescent="0.25">
      <c r="A356" s="2" t="s">
        <v>873</v>
      </c>
      <c r="B356" s="2" t="s">
        <v>874</v>
      </c>
      <c r="C356" s="5">
        <f>VALUE("2014")</f>
        <v>2014</v>
      </c>
      <c r="D356" s="2" t="s">
        <v>875</v>
      </c>
      <c r="E356" s="5">
        <f>VALUE("7273")</f>
        <v>7273</v>
      </c>
    </row>
    <row r="357" spans="1:5" x14ac:dyDescent="0.25">
      <c r="A357" s="2" t="s">
        <v>866</v>
      </c>
      <c r="B357" s="2" t="s">
        <v>867</v>
      </c>
      <c r="C357" s="5">
        <f>VALUE("2012")</f>
        <v>2012</v>
      </c>
      <c r="D357" s="2" t="s">
        <v>19</v>
      </c>
      <c r="E357" s="5">
        <f>VALUE("7271")</f>
        <v>7271</v>
      </c>
    </row>
    <row r="358" spans="1:5" x14ac:dyDescent="0.25">
      <c r="A358" s="2" t="s">
        <v>863</v>
      </c>
      <c r="B358" s="2" t="s">
        <v>864</v>
      </c>
      <c r="C358" s="5">
        <f>VALUE("2016")</f>
        <v>2016</v>
      </c>
      <c r="D358" s="2" t="s">
        <v>865</v>
      </c>
      <c r="E358" s="5">
        <f>VALUE("7270")</f>
        <v>7270</v>
      </c>
    </row>
    <row r="359" spans="1:5" x14ac:dyDescent="0.25">
      <c r="A359" s="2" t="s">
        <v>858</v>
      </c>
      <c r="B359" s="2" t="s">
        <v>859</v>
      </c>
      <c r="C359" s="5">
        <f>VALUE("2016")</f>
        <v>2016</v>
      </c>
      <c r="D359" s="2" t="s">
        <v>860</v>
      </c>
      <c r="E359" s="5">
        <f>VALUE("7270")</f>
        <v>7270</v>
      </c>
    </row>
    <row r="360" spans="1:5" x14ac:dyDescent="0.25">
      <c r="A360" s="2" t="s">
        <v>861</v>
      </c>
      <c r="B360" s="3" t="s">
        <v>1961</v>
      </c>
      <c r="C360" s="5">
        <f>VALUE("2016")</f>
        <v>2016</v>
      </c>
      <c r="D360" s="2" t="s">
        <v>862</v>
      </c>
      <c r="E360" s="5">
        <f>VALUE("7270")</f>
        <v>7270</v>
      </c>
    </row>
    <row r="361" spans="1:5" x14ac:dyDescent="0.25">
      <c r="A361" s="2" t="s">
        <v>855</v>
      </c>
      <c r="B361" s="7" t="s">
        <v>856</v>
      </c>
      <c r="C361" s="5">
        <f>VALUE("2012")</f>
        <v>2012</v>
      </c>
      <c r="D361" s="2" t="s">
        <v>857</v>
      </c>
      <c r="E361" s="5">
        <f>VALUE("7269")</f>
        <v>7269</v>
      </c>
    </row>
    <row r="362" spans="1:5" x14ac:dyDescent="0.25">
      <c r="A362" s="2" t="s">
        <v>849</v>
      </c>
      <c r="B362" s="2" t="s">
        <v>850</v>
      </c>
      <c r="C362" s="5">
        <f>VALUE("2015")</f>
        <v>2015</v>
      </c>
      <c r="D362" s="2" t="s">
        <v>851</v>
      </c>
      <c r="E362" s="5">
        <f>VALUE("7267")</f>
        <v>7267</v>
      </c>
    </row>
    <row r="363" spans="1:5" x14ac:dyDescent="0.25">
      <c r="A363" s="2" t="s">
        <v>852</v>
      </c>
      <c r="B363" s="2" t="s">
        <v>853</v>
      </c>
      <c r="C363" s="5">
        <f>VALUE("2015")</f>
        <v>2015</v>
      </c>
      <c r="D363" s="2" t="s">
        <v>854</v>
      </c>
      <c r="E363" s="5">
        <f>VALUE("7267")</f>
        <v>7267</v>
      </c>
    </row>
    <row r="364" spans="1:5" x14ac:dyDescent="0.25">
      <c r="A364" s="3" t="s">
        <v>1962</v>
      </c>
      <c r="B364" s="3" t="s">
        <v>1963</v>
      </c>
      <c r="C364" s="5">
        <f>VALUE("2015")</f>
        <v>2015</v>
      </c>
      <c r="D364" s="2" t="s">
        <v>845</v>
      </c>
      <c r="E364" s="5">
        <f>VALUE("7265")</f>
        <v>7265</v>
      </c>
    </row>
    <row r="365" spans="1:5" x14ac:dyDescent="0.25">
      <c r="A365" s="3" t="s">
        <v>1964</v>
      </c>
      <c r="B365" s="3" t="s">
        <v>1966</v>
      </c>
      <c r="C365" s="5">
        <f>VALUE("2015")</f>
        <v>2015</v>
      </c>
      <c r="D365" s="2" t="s">
        <v>845</v>
      </c>
      <c r="E365" s="5">
        <f>VALUE("7265")</f>
        <v>7265</v>
      </c>
    </row>
    <row r="366" spans="1:5" x14ac:dyDescent="0.25">
      <c r="A366" s="3" t="s">
        <v>1965</v>
      </c>
      <c r="B366" s="3" t="s">
        <v>1967</v>
      </c>
      <c r="C366" s="5">
        <f>VALUE("2015")</f>
        <v>2015</v>
      </c>
      <c r="D366" s="2" t="s">
        <v>842</v>
      </c>
      <c r="E366" s="5">
        <f>VALUE("7265")</f>
        <v>7265</v>
      </c>
    </row>
    <row r="367" spans="1:5" x14ac:dyDescent="0.25">
      <c r="A367" s="3" t="s">
        <v>1968</v>
      </c>
      <c r="B367" s="3" t="s">
        <v>1969</v>
      </c>
      <c r="C367" s="5">
        <f>VALUE("2015")</f>
        <v>2015</v>
      </c>
      <c r="D367" s="2" t="s">
        <v>847</v>
      </c>
      <c r="E367" s="5">
        <f>VALUE("7265")</f>
        <v>7265</v>
      </c>
    </row>
    <row r="368" spans="1:5" x14ac:dyDescent="0.25">
      <c r="A368" s="3" t="s">
        <v>1971</v>
      </c>
      <c r="B368" s="3" t="s">
        <v>1970</v>
      </c>
      <c r="C368" s="5">
        <f>VALUE("2015")</f>
        <v>2015</v>
      </c>
      <c r="D368" s="2" t="s">
        <v>848</v>
      </c>
      <c r="E368" s="5">
        <f>VALUE("7265")</f>
        <v>7265</v>
      </c>
    </row>
    <row r="369" spans="1:5" x14ac:dyDescent="0.25">
      <c r="A369" s="3" t="s">
        <v>1972</v>
      </c>
      <c r="B369" s="3" t="s">
        <v>1973</v>
      </c>
      <c r="C369" s="5">
        <f>VALUE("2015")</f>
        <v>2015</v>
      </c>
      <c r="D369" s="2" t="s">
        <v>845</v>
      </c>
      <c r="E369" s="5">
        <f>VALUE("7265")</f>
        <v>7265</v>
      </c>
    </row>
    <row r="370" spans="1:5" x14ac:dyDescent="0.25">
      <c r="A370" s="3" t="s">
        <v>1974</v>
      </c>
      <c r="B370" s="3"/>
      <c r="C370" s="5">
        <f>VALUE("2015")</f>
        <v>2015</v>
      </c>
      <c r="D370" s="2" t="s">
        <v>845</v>
      </c>
      <c r="E370" s="5">
        <f>VALUE("7265")</f>
        <v>7265</v>
      </c>
    </row>
    <row r="371" spans="1:5" x14ac:dyDescent="0.25">
      <c r="A371" s="3" t="s">
        <v>1975</v>
      </c>
      <c r="B371" s="3" t="s">
        <v>1976</v>
      </c>
      <c r="C371" s="5">
        <f>VALUE("2015")</f>
        <v>2015</v>
      </c>
      <c r="D371" s="2" t="s">
        <v>845</v>
      </c>
      <c r="E371" s="5">
        <f>VALUE("7265")</f>
        <v>7265</v>
      </c>
    </row>
    <row r="372" spans="1:5" x14ac:dyDescent="0.25">
      <c r="A372" s="3" t="s">
        <v>1978</v>
      </c>
      <c r="B372" s="3" t="s">
        <v>1977</v>
      </c>
      <c r="C372" s="5">
        <f>VALUE("2014")</f>
        <v>2014</v>
      </c>
      <c r="D372" s="2" t="s">
        <v>847</v>
      </c>
      <c r="E372" s="5">
        <f>VALUE("7265")</f>
        <v>7265</v>
      </c>
    </row>
    <row r="373" spans="1:5" x14ac:dyDescent="0.25">
      <c r="A373" s="2" t="s">
        <v>843</v>
      </c>
      <c r="B373" s="2" t="s">
        <v>844</v>
      </c>
      <c r="C373" s="5">
        <f>VALUE("2014")</f>
        <v>2014</v>
      </c>
      <c r="D373" s="2" t="s">
        <v>841</v>
      </c>
      <c r="E373" s="5">
        <f>VALUE("7265")</f>
        <v>7265</v>
      </c>
    </row>
    <row r="374" spans="1:5" ht="60" x14ac:dyDescent="0.25">
      <c r="A374" s="3" t="s">
        <v>1979</v>
      </c>
      <c r="B374" s="3" t="s">
        <v>845</v>
      </c>
      <c r="C374" s="5">
        <f>VALUE("2014")</f>
        <v>2014</v>
      </c>
      <c r="D374" s="2" t="s">
        <v>845</v>
      </c>
      <c r="E374" s="5">
        <f>VALUE("7265")</f>
        <v>7265</v>
      </c>
    </row>
    <row r="375" spans="1:5" x14ac:dyDescent="0.25">
      <c r="A375" s="2" t="s">
        <v>846</v>
      </c>
      <c r="B375" s="3" t="s">
        <v>845</v>
      </c>
      <c r="C375" s="5">
        <f>VALUE("2014")</f>
        <v>2014</v>
      </c>
      <c r="D375" s="2" t="s">
        <v>845</v>
      </c>
      <c r="E375" s="5">
        <f>VALUE("7265")</f>
        <v>7265</v>
      </c>
    </row>
    <row r="376" spans="1:5" x14ac:dyDescent="0.25">
      <c r="A376" s="3" t="s">
        <v>1981</v>
      </c>
      <c r="B376" s="3" t="s">
        <v>1980</v>
      </c>
      <c r="C376" s="5">
        <f>VALUE("2014")</f>
        <v>2014</v>
      </c>
      <c r="D376" s="2" t="s">
        <v>841</v>
      </c>
      <c r="E376" s="5">
        <f>VALUE("7265")</f>
        <v>7265</v>
      </c>
    </row>
    <row r="377" spans="1:5" x14ac:dyDescent="0.25">
      <c r="A377" s="3" t="s">
        <v>1982</v>
      </c>
      <c r="B377" s="3" t="s">
        <v>1983</v>
      </c>
      <c r="C377" s="5">
        <f>VALUE("2014")</f>
        <v>2014</v>
      </c>
      <c r="D377" s="2" t="s">
        <v>847</v>
      </c>
      <c r="E377" s="5">
        <f>VALUE("7265")</f>
        <v>7265</v>
      </c>
    </row>
    <row r="378" spans="1:5" x14ac:dyDescent="0.25">
      <c r="A378" s="3" t="s">
        <v>1985</v>
      </c>
      <c r="B378" s="3" t="s">
        <v>1984</v>
      </c>
      <c r="C378" s="5">
        <f>VALUE("2014")</f>
        <v>2014</v>
      </c>
      <c r="D378" s="2" t="s">
        <v>847</v>
      </c>
      <c r="E378" s="5">
        <f>VALUE("7265")</f>
        <v>7265</v>
      </c>
    </row>
    <row r="379" spans="1:5" x14ac:dyDescent="0.25">
      <c r="A379" s="3" t="s">
        <v>1986</v>
      </c>
      <c r="B379" s="3" t="s">
        <v>1987</v>
      </c>
      <c r="C379" s="5">
        <f>VALUE("2014")</f>
        <v>2014</v>
      </c>
      <c r="D379" s="2" t="s">
        <v>845</v>
      </c>
      <c r="E379" s="5">
        <f>VALUE("7265")</f>
        <v>7265</v>
      </c>
    </row>
    <row r="380" spans="1:5" x14ac:dyDescent="0.25">
      <c r="A380" s="3" t="s">
        <v>1989</v>
      </c>
      <c r="B380" s="3" t="s">
        <v>1988</v>
      </c>
      <c r="C380" s="5">
        <f>VALUE("2014")</f>
        <v>2014</v>
      </c>
      <c r="D380" s="2" t="s">
        <v>847</v>
      </c>
      <c r="E380" s="5">
        <f>VALUE("7265")</f>
        <v>7265</v>
      </c>
    </row>
    <row r="381" spans="1:5" x14ac:dyDescent="0.25">
      <c r="A381" s="3" t="s">
        <v>1990</v>
      </c>
      <c r="B381" s="3" t="s">
        <v>1991</v>
      </c>
      <c r="C381" s="5">
        <f>VALUE("2014")</f>
        <v>2014</v>
      </c>
      <c r="D381" s="2" t="s">
        <v>847</v>
      </c>
      <c r="E381" s="5">
        <f>VALUE("7265")</f>
        <v>7265</v>
      </c>
    </row>
    <row r="382" spans="1:5" x14ac:dyDescent="0.25">
      <c r="A382" s="2" t="s">
        <v>839</v>
      </c>
      <c r="B382" s="2" t="s">
        <v>840</v>
      </c>
      <c r="C382" s="5">
        <f>VALUE("2014")</f>
        <v>2014</v>
      </c>
      <c r="D382" s="2" t="s">
        <v>841</v>
      </c>
      <c r="E382" s="5">
        <f>VALUE("7265")</f>
        <v>7265</v>
      </c>
    </row>
    <row r="383" spans="1:5" ht="30" x14ac:dyDescent="0.25">
      <c r="A383" s="3" t="s">
        <v>1993</v>
      </c>
      <c r="B383" s="8" t="s">
        <v>1992</v>
      </c>
      <c r="C383" s="5">
        <f>VALUE("2014")</f>
        <v>2014</v>
      </c>
      <c r="D383" s="2" t="s">
        <v>847</v>
      </c>
      <c r="E383" s="5">
        <f>VALUE("7265")</f>
        <v>7265</v>
      </c>
    </row>
    <row r="384" spans="1:5" x14ac:dyDescent="0.25">
      <c r="A384" s="7" t="s">
        <v>836</v>
      </c>
      <c r="B384" s="2" t="s">
        <v>837</v>
      </c>
      <c r="C384" s="5">
        <f>VALUE("2013")</f>
        <v>2013</v>
      </c>
      <c r="D384" s="2" t="s">
        <v>838</v>
      </c>
      <c r="E384" s="5">
        <f>VALUE("7264")</f>
        <v>7264</v>
      </c>
    </row>
    <row r="385" spans="1:5" x14ac:dyDescent="0.25">
      <c r="A385" s="2" t="s">
        <v>821</v>
      </c>
      <c r="B385" s="2" t="s">
        <v>822</v>
      </c>
      <c r="C385" s="5">
        <f>VALUE("2013")</f>
        <v>2013</v>
      </c>
      <c r="D385" s="2" t="s">
        <v>823</v>
      </c>
      <c r="E385" s="5">
        <f>VALUE("7262")</f>
        <v>7262</v>
      </c>
    </row>
    <row r="386" spans="1:5" x14ac:dyDescent="0.25">
      <c r="A386" s="2" t="s">
        <v>824</v>
      </c>
      <c r="B386" s="2" t="s">
        <v>825</v>
      </c>
      <c r="C386" s="5">
        <f>VALUE("2013")</f>
        <v>2013</v>
      </c>
      <c r="D386" s="2" t="s">
        <v>826</v>
      </c>
      <c r="E386" s="5">
        <f>VALUE("7262")</f>
        <v>7262</v>
      </c>
    </row>
    <row r="387" spans="1:5" x14ac:dyDescent="0.25">
      <c r="A387" s="2" t="s">
        <v>827</v>
      </c>
      <c r="B387" s="2" t="s">
        <v>828</v>
      </c>
      <c r="C387" s="5">
        <f>VALUE("2013")</f>
        <v>2013</v>
      </c>
      <c r="D387" s="2" t="s">
        <v>829</v>
      </c>
      <c r="E387" s="5">
        <f>VALUE("7262")</f>
        <v>7262</v>
      </c>
    </row>
    <row r="388" spans="1:5" x14ac:dyDescent="0.25">
      <c r="A388" s="2" t="s">
        <v>830</v>
      </c>
      <c r="B388" s="2" t="s">
        <v>831</v>
      </c>
      <c r="C388" s="5">
        <f>VALUE("2013")</f>
        <v>2013</v>
      </c>
      <c r="D388" s="2" t="s">
        <v>832</v>
      </c>
      <c r="E388" s="5">
        <f>VALUE("7262")</f>
        <v>7262</v>
      </c>
    </row>
    <row r="389" spans="1:5" x14ac:dyDescent="0.25">
      <c r="A389" s="2" t="s">
        <v>833</v>
      </c>
      <c r="B389" s="2" t="s">
        <v>834</v>
      </c>
      <c r="C389" s="5">
        <f>VALUE("2013")</f>
        <v>2013</v>
      </c>
      <c r="D389" s="2" t="s">
        <v>835</v>
      </c>
      <c r="E389" s="5">
        <f>VALUE("7262")</f>
        <v>7262</v>
      </c>
    </row>
    <row r="390" spans="1:5" x14ac:dyDescent="0.25">
      <c r="A390" s="2" t="s">
        <v>818</v>
      </c>
      <c r="B390" s="2" t="s">
        <v>819</v>
      </c>
      <c r="C390" s="5">
        <f>VALUE("2014")</f>
        <v>2014</v>
      </c>
      <c r="D390" s="2" t="s">
        <v>820</v>
      </c>
      <c r="E390" s="5">
        <f>VALUE("7261")</f>
        <v>7261</v>
      </c>
    </row>
    <row r="391" spans="1:5" x14ac:dyDescent="0.25">
      <c r="A391" s="2" t="s">
        <v>815</v>
      </c>
      <c r="B391" s="2" t="s">
        <v>816</v>
      </c>
      <c r="C391" s="5">
        <v>2012</v>
      </c>
      <c r="D391" s="2" t="s">
        <v>817</v>
      </c>
      <c r="E391" s="5">
        <f>VALUE("7260")</f>
        <v>7260</v>
      </c>
    </row>
    <row r="392" spans="1:5" x14ac:dyDescent="0.25">
      <c r="A392" s="2" t="s">
        <v>812</v>
      </c>
      <c r="B392" s="2" t="s">
        <v>813</v>
      </c>
      <c r="C392" s="5">
        <f>VALUE("2014")</f>
        <v>2014</v>
      </c>
      <c r="D392" s="2" t="s">
        <v>814</v>
      </c>
      <c r="E392" s="5">
        <f>VALUE("7258")</f>
        <v>7258</v>
      </c>
    </row>
    <row r="393" spans="1:5" ht="30" x14ac:dyDescent="0.25">
      <c r="A393" s="2" t="s">
        <v>807</v>
      </c>
      <c r="B393" s="3" t="s">
        <v>1994</v>
      </c>
      <c r="C393" s="5">
        <f>VALUE("2013")</f>
        <v>2013</v>
      </c>
      <c r="D393" s="2" t="s">
        <v>808</v>
      </c>
      <c r="E393" s="5">
        <f>VALUE("7258")</f>
        <v>7258</v>
      </c>
    </row>
    <row r="394" spans="1:5" x14ac:dyDescent="0.25">
      <c r="A394" s="2" t="s">
        <v>809</v>
      </c>
      <c r="B394" s="2" t="s">
        <v>810</v>
      </c>
      <c r="C394" s="5">
        <f>VALUE("2013")</f>
        <v>2013</v>
      </c>
      <c r="D394" s="2" t="s">
        <v>811</v>
      </c>
      <c r="E394" s="5">
        <f>VALUE("7258")</f>
        <v>7258</v>
      </c>
    </row>
    <row r="395" spans="1:5" x14ac:dyDescent="0.25">
      <c r="A395" s="2" t="s">
        <v>805</v>
      </c>
      <c r="B395" s="2" t="s">
        <v>2114</v>
      </c>
      <c r="C395" s="5">
        <f>VALUE("2014")</f>
        <v>2014</v>
      </c>
      <c r="D395" s="2" t="s">
        <v>806</v>
      </c>
      <c r="E395" s="5">
        <f>VALUE("7257")</f>
        <v>7257</v>
      </c>
    </row>
    <row r="396" spans="1:5" x14ac:dyDescent="0.25">
      <c r="A396" s="2" t="s">
        <v>802</v>
      </c>
      <c r="B396" s="2" t="s">
        <v>803</v>
      </c>
      <c r="C396" s="5">
        <f>VALUE("2016")</f>
        <v>2016</v>
      </c>
      <c r="D396" s="2" t="s">
        <v>804</v>
      </c>
      <c r="E396" s="5">
        <f>VALUE("7256")</f>
        <v>7256</v>
      </c>
    </row>
    <row r="397" spans="1:5" x14ac:dyDescent="0.25">
      <c r="A397" s="2" t="s">
        <v>799</v>
      </c>
      <c r="B397" s="2" t="s">
        <v>800</v>
      </c>
      <c r="C397" s="5">
        <f>VALUE("2015")</f>
        <v>2015</v>
      </c>
      <c r="D397" s="2" t="s">
        <v>801</v>
      </c>
      <c r="E397" s="5">
        <f>VALUE("7256")</f>
        <v>7256</v>
      </c>
    </row>
    <row r="398" spans="1:5" x14ac:dyDescent="0.25">
      <c r="A398" s="2" t="s">
        <v>1995</v>
      </c>
      <c r="B398" s="2" t="s">
        <v>797</v>
      </c>
      <c r="C398" s="5">
        <f>VALUE("2013")</f>
        <v>2013</v>
      </c>
      <c r="D398" s="2" t="s">
        <v>798</v>
      </c>
      <c r="E398" s="5">
        <f>VALUE("7255")</f>
        <v>7255</v>
      </c>
    </row>
    <row r="399" spans="1:5" x14ac:dyDescent="0.25">
      <c r="A399" s="2" t="s">
        <v>1996</v>
      </c>
      <c r="B399" s="2" t="s">
        <v>795</v>
      </c>
      <c r="C399" s="5">
        <f>VALUE("2012")</f>
        <v>2012</v>
      </c>
      <c r="D399" s="2" t="s">
        <v>796</v>
      </c>
      <c r="E399" s="5">
        <f>VALUE("7254")</f>
        <v>7254</v>
      </c>
    </row>
    <row r="400" spans="1:5" x14ac:dyDescent="0.25">
      <c r="A400" s="2" t="s">
        <v>793</v>
      </c>
      <c r="B400" s="2" t="s">
        <v>2113</v>
      </c>
      <c r="C400" s="5">
        <f>VALUE("2015")</f>
        <v>2015</v>
      </c>
      <c r="D400" s="2" t="s">
        <v>794</v>
      </c>
      <c r="E400" s="5">
        <f>VALUE("7249")</f>
        <v>7249</v>
      </c>
    </row>
    <row r="401" spans="1:5" x14ac:dyDescent="0.25">
      <c r="A401" s="2" t="s">
        <v>1997</v>
      </c>
      <c r="B401" s="2" t="s">
        <v>791</v>
      </c>
      <c r="C401" s="5">
        <f>VALUE("2013")</f>
        <v>2013</v>
      </c>
      <c r="D401" s="2" t="s">
        <v>792</v>
      </c>
      <c r="E401" s="5">
        <f>VALUE("7249")</f>
        <v>7249</v>
      </c>
    </row>
    <row r="402" spans="1:5" x14ac:dyDescent="0.25">
      <c r="A402" s="2" t="s">
        <v>787</v>
      </c>
      <c r="B402" s="2" t="s">
        <v>788</v>
      </c>
      <c r="C402" s="5">
        <f>VALUE("2012")</f>
        <v>2012</v>
      </c>
      <c r="E402" s="5">
        <f>VALUE("7246")</f>
        <v>7246</v>
      </c>
    </row>
    <row r="403" spans="1:5" x14ac:dyDescent="0.25">
      <c r="A403" s="2" t="s">
        <v>789</v>
      </c>
      <c r="B403" s="2" t="s">
        <v>2112</v>
      </c>
      <c r="C403" s="5">
        <f>VALUE("2012")</f>
        <v>2012</v>
      </c>
      <c r="E403" s="5">
        <f>VALUE("7246")</f>
        <v>7246</v>
      </c>
    </row>
    <row r="404" spans="1:5" x14ac:dyDescent="0.25">
      <c r="A404" s="2" t="s">
        <v>790</v>
      </c>
      <c r="B404" s="2" t="s">
        <v>2112</v>
      </c>
      <c r="C404" s="5">
        <f>VALUE("2012")</f>
        <v>2012</v>
      </c>
      <c r="E404" s="5">
        <f>VALUE("7246")</f>
        <v>7246</v>
      </c>
    </row>
    <row r="405" spans="1:5" x14ac:dyDescent="0.25">
      <c r="A405" s="2" t="s">
        <v>785</v>
      </c>
      <c r="B405" s="2" t="s">
        <v>786</v>
      </c>
      <c r="C405" s="5">
        <f>VALUE("2011")</f>
        <v>2011</v>
      </c>
      <c r="D405" s="2" t="s">
        <v>786</v>
      </c>
      <c r="E405" s="5">
        <f>VALUE("7245")</f>
        <v>7245</v>
      </c>
    </row>
    <row r="406" spans="1:5" x14ac:dyDescent="0.25">
      <c r="A406" s="2" t="s">
        <v>783</v>
      </c>
      <c r="B406" s="2" t="s">
        <v>2111</v>
      </c>
      <c r="C406" s="5">
        <f>VALUE("2013")</f>
        <v>2013</v>
      </c>
      <c r="D406" s="2" t="s">
        <v>784</v>
      </c>
      <c r="E406" s="5">
        <f>VALUE("7243")</f>
        <v>7243</v>
      </c>
    </row>
    <row r="407" spans="1:5" x14ac:dyDescent="0.25">
      <c r="A407" s="2" t="s">
        <v>781</v>
      </c>
      <c r="B407" s="2" t="s">
        <v>782</v>
      </c>
      <c r="C407" s="5">
        <f>VALUE("2012")</f>
        <v>2012</v>
      </c>
      <c r="E407" s="5">
        <f>VALUE("7241")</f>
        <v>7241</v>
      </c>
    </row>
    <row r="408" spans="1:5" x14ac:dyDescent="0.25">
      <c r="A408" s="2" t="s">
        <v>1998</v>
      </c>
      <c r="B408" s="2" t="s">
        <v>2106</v>
      </c>
      <c r="C408" s="5">
        <f>VALUE("2014")</f>
        <v>2014</v>
      </c>
      <c r="D408" s="2" t="s">
        <v>778</v>
      </c>
      <c r="E408" s="5">
        <f>VALUE("7238")</f>
        <v>7238</v>
      </c>
    </row>
    <row r="409" spans="1:5" x14ac:dyDescent="0.25">
      <c r="A409" s="2" t="s">
        <v>779</v>
      </c>
      <c r="B409" s="2" t="s">
        <v>2107</v>
      </c>
      <c r="C409" s="5">
        <f>VALUE("2014")</f>
        <v>2014</v>
      </c>
      <c r="D409" s="2" t="s">
        <v>780</v>
      </c>
      <c r="E409" s="5">
        <f>VALUE("7238")</f>
        <v>7238</v>
      </c>
    </row>
    <row r="410" spans="1:5" x14ac:dyDescent="0.25">
      <c r="A410" s="2" t="s">
        <v>1999</v>
      </c>
      <c r="B410" s="2" t="s">
        <v>2108</v>
      </c>
      <c r="C410" s="5">
        <v>2012</v>
      </c>
      <c r="D410" s="2" t="s">
        <v>777</v>
      </c>
      <c r="E410" s="5">
        <f>VALUE("7233")</f>
        <v>7233</v>
      </c>
    </row>
    <row r="411" spans="1:5" x14ac:dyDescent="0.25">
      <c r="A411" s="2" t="s">
        <v>772</v>
      </c>
      <c r="B411" s="2" t="s">
        <v>773</v>
      </c>
      <c r="C411" s="5">
        <f>VALUE("2014")</f>
        <v>2014</v>
      </c>
      <c r="D411" s="2" t="s">
        <v>774</v>
      </c>
      <c r="E411" s="5">
        <f>VALUE("7232")</f>
        <v>7232</v>
      </c>
    </row>
    <row r="412" spans="1:5" x14ac:dyDescent="0.25">
      <c r="A412" s="2" t="s">
        <v>2000</v>
      </c>
      <c r="B412" s="2" t="s">
        <v>773</v>
      </c>
      <c r="C412" s="5">
        <f>VALUE("2014")</f>
        <v>2014</v>
      </c>
      <c r="D412" s="2" t="s">
        <v>776</v>
      </c>
      <c r="E412" s="5">
        <f>VALUE("7232")</f>
        <v>7232</v>
      </c>
    </row>
    <row r="413" spans="1:5" x14ac:dyDescent="0.25">
      <c r="A413" s="2" t="s">
        <v>772</v>
      </c>
      <c r="B413" s="2" t="s">
        <v>2109</v>
      </c>
      <c r="C413" s="5">
        <f>VALUE("2013")</f>
        <v>2013</v>
      </c>
      <c r="D413" s="2" t="s">
        <v>775</v>
      </c>
      <c r="E413" s="5">
        <f>VALUE("7232")</f>
        <v>7232</v>
      </c>
    </row>
    <row r="414" spans="1:5" x14ac:dyDescent="0.25">
      <c r="A414" s="2" t="s">
        <v>2001</v>
      </c>
      <c r="B414" s="2" t="s">
        <v>2110</v>
      </c>
      <c r="C414" s="5">
        <f>VALUE("2104")</f>
        <v>2104</v>
      </c>
      <c r="D414" s="2" t="s">
        <v>771</v>
      </c>
      <c r="E414" s="5">
        <f>VALUE("7230")</f>
        <v>7230</v>
      </c>
    </row>
    <row r="415" spans="1:5" x14ac:dyDescent="0.25">
      <c r="A415" s="2" t="s">
        <v>768</v>
      </c>
      <c r="B415" s="2" t="s">
        <v>769</v>
      </c>
      <c r="C415" s="5">
        <f>VALUE("2012")</f>
        <v>2012</v>
      </c>
      <c r="D415" s="2" t="s">
        <v>770</v>
      </c>
      <c r="E415" s="5">
        <f>VALUE("7229")</f>
        <v>7229</v>
      </c>
    </row>
    <row r="416" spans="1:5" x14ac:dyDescent="0.25">
      <c r="A416" s="2" t="s">
        <v>766</v>
      </c>
      <c r="B416" s="2" t="s">
        <v>767</v>
      </c>
      <c r="C416" s="5">
        <f>VALUE("2009")</f>
        <v>2009</v>
      </c>
      <c r="E416" s="5">
        <f>VALUE("7228")</f>
        <v>7228</v>
      </c>
    </row>
    <row r="417" spans="1:5" x14ac:dyDescent="0.25">
      <c r="A417" s="2" t="s">
        <v>764</v>
      </c>
      <c r="B417" s="2" t="s">
        <v>765</v>
      </c>
      <c r="C417" s="5">
        <f>VALUE("2011")</f>
        <v>2011</v>
      </c>
      <c r="D417" s="2" t="s">
        <v>552</v>
      </c>
      <c r="E417" s="5">
        <f>VALUE("7225")</f>
        <v>7225</v>
      </c>
    </row>
    <row r="418" spans="1:5" x14ac:dyDescent="0.25">
      <c r="A418" s="2" t="s">
        <v>762</v>
      </c>
      <c r="B418" s="2" t="s">
        <v>763</v>
      </c>
      <c r="C418" s="5">
        <f>VALUE("2012")</f>
        <v>2012</v>
      </c>
      <c r="D418" s="2" t="s">
        <v>763</v>
      </c>
      <c r="E418" s="5">
        <f>VALUE("7223")</f>
        <v>7223</v>
      </c>
    </row>
    <row r="419" spans="1:5" x14ac:dyDescent="0.25">
      <c r="A419" s="2" t="s">
        <v>2002</v>
      </c>
      <c r="B419" s="2" t="s">
        <v>760</v>
      </c>
      <c r="C419" s="5">
        <f>VALUE("2012")</f>
        <v>2012</v>
      </c>
      <c r="D419" s="2" t="s">
        <v>761</v>
      </c>
      <c r="E419" s="5">
        <f>VALUE("7222")</f>
        <v>7222</v>
      </c>
    </row>
    <row r="420" spans="1:5" x14ac:dyDescent="0.25">
      <c r="A420" s="2" t="s">
        <v>757</v>
      </c>
      <c r="B420" s="2" t="s">
        <v>758</v>
      </c>
      <c r="C420" s="5">
        <f>VALUE("2012")</f>
        <v>2012</v>
      </c>
      <c r="D420" s="2" t="s">
        <v>759</v>
      </c>
      <c r="E420" s="5">
        <f>VALUE("7220")</f>
        <v>7220</v>
      </c>
    </row>
    <row r="421" spans="1:5" x14ac:dyDescent="0.25">
      <c r="A421" s="2" t="s">
        <v>754</v>
      </c>
      <c r="B421" s="2" t="s">
        <v>755</v>
      </c>
      <c r="C421" s="5">
        <f>VALUE("2015")</f>
        <v>2015</v>
      </c>
      <c r="D421" s="2" t="s">
        <v>756</v>
      </c>
      <c r="E421" s="5">
        <f>VALUE("7218")</f>
        <v>7218</v>
      </c>
    </row>
    <row r="422" spans="1:5" x14ac:dyDescent="0.25">
      <c r="A422" s="2" t="s">
        <v>2003</v>
      </c>
      <c r="B422" s="2" t="s">
        <v>753</v>
      </c>
      <c r="C422" s="5">
        <f>VALUE("2013")</f>
        <v>2013</v>
      </c>
      <c r="D422" s="2" t="s">
        <v>717</v>
      </c>
      <c r="E422" s="5">
        <f>VALUE("7217")</f>
        <v>7217</v>
      </c>
    </row>
    <row r="423" spans="1:5" x14ac:dyDescent="0.25">
      <c r="A423" s="2" t="s">
        <v>1901</v>
      </c>
      <c r="B423" s="2" t="s">
        <v>1185</v>
      </c>
      <c r="C423" s="5">
        <v>2011</v>
      </c>
      <c r="D423" s="2" t="s">
        <v>953</v>
      </c>
      <c r="E423" s="5">
        <v>7216</v>
      </c>
    </row>
    <row r="424" spans="1:5" x14ac:dyDescent="0.25">
      <c r="A424" s="2" t="s">
        <v>750</v>
      </c>
      <c r="B424" s="2" t="s">
        <v>751</v>
      </c>
      <c r="C424" s="5">
        <f>VALUE("2013")</f>
        <v>2013</v>
      </c>
      <c r="D424" s="2" t="s">
        <v>752</v>
      </c>
      <c r="E424" s="5">
        <f>VALUE("7215")</f>
        <v>7215</v>
      </c>
    </row>
    <row r="425" spans="1:5" x14ac:dyDescent="0.25">
      <c r="A425" s="2" t="s">
        <v>747</v>
      </c>
      <c r="B425" s="2" t="s">
        <v>748</v>
      </c>
      <c r="C425" s="5">
        <f>VALUE("2013")</f>
        <v>2013</v>
      </c>
      <c r="D425" s="2" t="s">
        <v>749</v>
      </c>
      <c r="E425" s="5">
        <f>VALUE("7210")</f>
        <v>7210</v>
      </c>
    </row>
    <row r="426" spans="1:5" x14ac:dyDescent="0.25">
      <c r="A426" s="2" t="s">
        <v>744</v>
      </c>
      <c r="B426" s="2" t="s">
        <v>745</v>
      </c>
      <c r="C426" s="5">
        <f>VALUE("2012")</f>
        <v>2012</v>
      </c>
      <c r="D426" s="2" t="s">
        <v>746</v>
      </c>
      <c r="E426" s="5">
        <f>VALUE("7209")</f>
        <v>7209</v>
      </c>
    </row>
    <row r="427" spans="1:5" x14ac:dyDescent="0.25">
      <c r="A427" s="2" t="s">
        <v>742</v>
      </c>
      <c r="B427" s="2" t="s">
        <v>743</v>
      </c>
      <c r="C427" s="5">
        <f>VALUE("2011")</f>
        <v>2011</v>
      </c>
      <c r="D427" s="2" t="s">
        <v>106</v>
      </c>
      <c r="E427" s="5">
        <f>VALUE("7207")</f>
        <v>7207</v>
      </c>
    </row>
    <row r="428" spans="1:5" x14ac:dyDescent="0.25">
      <c r="A428" s="2" t="s">
        <v>740</v>
      </c>
      <c r="B428" s="2" t="s">
        <v>741</v>
      </c>
      <c r="C428" s="5">
        <f>VALUE("2014")</f>
        <v>2014</v>
      </c>
      <c r="D428" s="2" t="s">
        <v>591</v>
      </c>
      <c r="E428" s="5">
        <f>VALUE("7204")</f>
        <v>7204</v>
      </c>
    </row>
    <row r="429" spans="1:5" x14ac:dyDescent="0.25">
      <c r="A429" s="2" t="s">
        <v>738</v>
      </c>
      <c r="B429" s="2" t="s">
        <v>739</v>
      </c>
      <c r="C429" s="5">
        <f>VALUE("2013")</f>
        <v>2013</v>
      </c>
      <c r="D429" s="2" t="s">
        <v>591</v>
      </c>
      <c r="E429" s="5">
        <f>VALUE("7204")</f>
        <v>7204</v>
      </c>
    </row>
    <row r="430" spans="1:5" x14ac:dyDescent="0.25">
      <c r="A430" s="2" t="s">
        <v>736</v>
      </c>
      <c r="B430" s="2" t="s">
        <v>737</v>
      </c>
      <c r="C430" s="5">
        <f>VALUE("2013")</f>
        <v>2013</v>
      </c>
      <c r="D430" s="2" t="s">
        <v>591</v>
      </c>
      <c r="E430" s="5">
        <f>VALUE("7204")</f>
        <v>7204</v>
      </c>
    </row>
    <row r="431" spans="1:5" x14ac:dyDescent="0.25">
      <c r="A431" s="3" t="s">
        <v>2004</v>
      </c>
      <c r="B431" s="2" t="s">
        <v>728</v>
      </c>
      <c r="C431" s="5">
        <f>VALUE("2015")</f>
        <v>2015</v>
      </c>
      <c r="D431" s="2" t="s">
        <v>729</v>
      </c>
      <c r="E431" s="5">
        <f>VALUE("7200")</f>
        <v>7200</v>
      </c>
    </row>
    <row r="432" spans="1:5" x14ac:dyDescent="0.25">
      <c r="A432" s="2" t="s">
        <v>730</v>
      </c>
      <c r="B432" s="2" t="s">
        <v>731</v>
      </c>
      <c r="C432" s="5">
        <f>VALUE("2015")</f>
        <v>2015</v>
      </c>
      <c r="D432" s="2" t="s">
        <v>732</v>
      </c>
      <c r="E432" s="5">
        <f>VALUE("7200")</f>
        <v>7200</v>
      </c>
    </row>
    <row r="433" spans="1:5" x14ac:dyDescent="0.25">
      <c r="A433" s="2" t="s">
        <v>733</v>
      </c>
      <c r="B433" s="2" t="s">
        <v>734</v>
      </c>
      <c r="C433" s="5">
        <f>VALUE("2012")</f>
        <v>2012</v>
      </c>
      <c r="D433" s="2" t="s">
        <v>735</v>
      </c>
      <c r="E433" s="5">
        <f>VALUE("7200")</f>
        <v>7200</v>
      </c>
    </row>
    <row r="434" spans="1:5" x14ac:dyDescent="0.25">
      <c r="A434" s="2" t="s">
        <v>725</v>
      </c>
      <c r="B434" s="2" t="s">
        <v>726</v>
      </c>
      <c r="C434" s="5">
        <v>2013</v>
      </c>
      <c r="D434" s="2" t="s">
        <v>727</v>
      </c>
      <c r="E434" s="5">
        <f>VALUE("7197")</f>
        <v>7197</v>
      </c>
    </row>
    <row r="435" spans="1:5" x14ac:dyDescent="0.25">
      <c r="A435" s="2" t="s">
        <v>724</v>
      </c>
      <c r="B435" s="2" t="s">
        <v>2105</v>
      </c>
      <c r="C435" s="5">
        <f>VALUE("2012")</f>
        <v>2012</v>
      </c>
      <c r="D435" s="2" t="s">
        <v>19</v>
      </c>
      <c r="E435" s="5">
        <f>VALUE("7197")</f>
        <v>7197</v>
      </c>
    </row>
    <row r="436" spans="1:5" x14ac:dyDescent="0.25">
      <c r="A436" s="2" t="s">
        <v>721</v>
      </c>
      <c r="B436" s="2" t="s">
        <v>722</v>
      </c>
      <c r="C436" s="5">
        <f>VALUE("2014")</f>
        <v>2014</v>
      </c>
      <c r="D436" s="2" t="s">
        <v>723</v>
      </c>
      <c r="E436" s="5">
        <f>VALUE("7194")</f>
        <v>7194</v>
      </c>
    </row>
    <row r="437" spans="1:5" x14ac:dyDescent="0.25">
      <c r="A437" s="2" t="s">
        <v>718</v>
      </c>
      <c r="B437" s="2" t="s">
        <v>719</v>
      </c>
      <c r="C437" s="5">
        <f>VALUE("2013")</f>
        <v>2013</v>
      </c>
      <c r="D437" s="2" t="s">
        <v>720</v>
      </c>
      <c r="E437" s="5">
        <f>VALUE("7190")</f>
        <v>7190</v>
      </c>
    </row>
    <row r="438" spans="1:5" x14ac:dyDescent="0.25">
      <c r="A438" s="2" t="s">
        <v>715</v>
      </c>
      <c r="B438" s="2" t="s">
        <v>716</v>
      </c>
      <c r="C438" s="5">
        <f>VALUE("2012")</f>
        <v>2012</v>
      </c>
      <c r="D438" s="2" t="s">
        <v>717</v>
      </c>
      <c r="E438" s="5">
        <f>VALUE("7184")</f>
        <v>7184</v>
      </c>
    </row>
    <row r="439" spans="1:5" x14ac:dyDescent="0.25">
      <c r="A439" s="2" t="s">
        <v>2005</v>
      </c>
      <c r="B439" s="2" t="s">
        <v>714</v>
      </c>
      <c r="C439" s="5">
        <f>VALUE("2011")</f>
        <v>2011</v>
      </c>
      <c r="E439" s="5">
        <f>VALUE("7182")</f>
        <v>7182</v>
      </c>
    </row>
    <row r="440" spans="1:5" x14ac:dyDescent="0.25">
      <c r="A440" s="2" t="s">
        <v>2006</v>
      </c>
      <c r="B440" s="2" t="s">
        <v>712</v>
      </c>
      <c r="C440" s="5">
        <f>VALUE("2013")</f>
        <v>2013</v>
      </c>
      <c r="D440" s="2" t="s">
        <v>713</v>
      </c>
      <c r="E440" s="5">
        <f>VALUE("7176")</f>
        <v>7176</v>
      </c>
    </row>
    <row r="441" spans="1:5" x14ac:dyDescent="0.25">
      <c r="A441" s="2" t="s">
        <v>1912</v>
      </c>
      <c r="B441" s="2" t="s">
        <v>707</v>
      </c>
      <c r="C441" s="5">
        <f>VALUE("2014")</f>
        <v>2014</v>
      </c>
      <c r="D441" s="2" t="s">
        <v>708</v>
      </c>
      <c r="E441" s="6">
        <v>7172</v>
      </c>
    </row>
    <row r="442" spans="1:5" x14ac:dyDescent="0.25">
      <c r="A442" s="2" t="s">
        <v>709</v>
      </c>
      <c r="B442" s="2" t="s">
        <v>710</v>
      </c>
      <c r="C442" s="5">
        <v>2010</v>
      </c>
      <c r="D442" s="2" t="s">
        <v>711</v>
      </c>
      <c r="E442" s="5">
        <f>VALUE("7172")</f>
        <v>7172</v>
      </c>
    </row>
    <row r="443" spans="1:5" x14ac:dyDescent="0.25">
      <c r="A443" s="2" t="s">
        <v>1912</v>
      </c>
      <c r="B443" s="2" t="s">
        <v>707</v>
      </c>
      <c r="C443" s="5">
        <f>VALUE("2014")</f>
        <v>2014</v>
      </c>
      <c r="D443" s="2" t="s">
        <v>708</v>
      </c>
      <c r="E443" s="6">
        <v>7171</v>
      </c>
    </row>
    <row r="444" spans="1:5" x14ac:dyDescent="0.25">
      <c r="A444" s="2" t="s">
        <v>704</v>
      </c>
      <c r="B444" s="2" t="s">
        <v>705</v>
      </c>
      <c r="C444" s="5">
        <f>VALUE("2013")</f>
        <v>2013</v>
      </c>
      <c r="D444" s="2" t="s">
        <v>706</v>
      </c>
      <c r="E444" s="5">
        <f>VALUE("7171")</f>
        <v>7171</v>
      </c>
    </row>
    <row r="445" spans="1:5" x14ac:dyDescent="0.25">
      <c r="A445" s="2" t="s">
        <v>701</v>
      </c>
      <c r="B445" s="2" t="s">
        <v>702</v>
      </c>
      <c r="C445" s="5">
        <f>VALUE("2012")</f>
        <v>2012</v>
      </c>
      <c r="D445" s="2" t="s">
        <v>703</v>
      </c>
      <c r="E445" s="5">
        <f>VALUE("7170")</f>
        <v>7170</v>
      </c>
    </row>
    <row r="446" spans="1:5" x14ac:dyDescent="0.25">
      <c r="A446" s="2" t="s">
        <v>697</v>
      </c>
      <c r="B446" s="2" t="s">
        <v>698</v>
      </c>
      <c r="C446" s="5">
        <f>VALUE("2014")</f>
        <v>2014</v>
      </c>
      <c r="D446" s="2" t="s">
        <v>698</v>
      </c>
      <c r="E446" s="5">
        <f>VALUE("7169")</f>
        <v>7169</v>
      </c>
    </row>
    <row r="447" spans="1:5" x14ac:dyDescent="0.25">
      <c r="A447" s="2" t="s">
        <v>699</v>
      </c>
      <c r="B447" s="2" t="s">
        <v>700</v>
      </c>
      <c r="C447" s="5">
        <f>VALUE("2014")</f>
        <v>2014</v>
      </c>
      <c r="D447" s="2" t="s">
        <v>222</v>
      </c>
      <c r="E447" s="5">
        <f>VALUE("7169")</f>
        <v>7169</v>
      </c>
    </row>
    <row r="448" spans="1:5" x14ac:dyDescent="0.25">
      <c r="A448" s="2" t="s">
        <v>2007</v>
      </c>
      <c r="B448" s="2" t="s">
        <v>695</v>
      </c>
      <c r="C448" s="5">
        <f>VALUE("2012")</f>
        <v>2012</v>
      </c>
      <c r="D448" s="2" t="s">
        <v>696</v>
      </c>
      <c r="E448" s="5">
        <f>VALUE("7165")</f>
        <v>7165</v>
      </c>
    </row>
    <row r="449" spans="1:5" x14ac:dyDescent="0.25">
      <c r="A449" s="2" t="s">
        <v>692</v>
      </c>
      <c r="B449" s="2" t="s">
        <v>693</v>
      </c>
      <c r="C449" s="5">
        <f>VALUE("2015")</f>
        <v>2015</v>
      </c>
      <c r="D449" s="2" t="s">
        <v>694</v>
      </c>
      <c r="E449" s="5">
        <f>VALUE("7162")</f>
        <v>7162</v>
      </c>
    </row>
    <row r="450" spans="1:5" x14ac:dyDescent="0.25">
      <c r="A450" s="2" t="s">
        <v>687</v>
      </c>
      <c r="B450" s="2" t="s">
        <v>688</v>
      </c>
      <c r="C450" s="5">
        <f>VALUE("2011")</f>
        <v>2011</v>
      </c>
      <c r="D450" s="2" t="s">
        <v>689</v>
      </c>
      <c r="E450" s="5">
        <f>VALUE("7160")</f>
        <v>7160</v>
      </c>
    </row>
    <row r="451" spans="1:5" x14ac:dyDescent="0.25">
      <c r="A451" s="2" t="s">
        <v>690</v>
      </c>
      <c r="B451" s="2" t="s">
        <v>691</v>
      </c>
      <c r="C451" s="5">
        <f>VALUE("2007")</f>
        <v>2007</v>
      </c>
      <c r="D451" s="2" t="s">
        <v>689</v>
      </c>
      <c r="E451" s="5">
        <f>VALUE("7160")</f>
        <v>7160</v>
      </c>
    </row>
    <row r="452" spans="1:5" x14ac:dyDescent="0.25">
      <c r="A452" s="2" t="s">
        <v>685</v>
      </c>
      <c r="B452" s="2" t="s">
        <v>686</v>
      </c>
      <c r="C452" s="5">
        <f>VALUE("2016")</f>
        <v>2016</v>
      </c>
      <c r="D452" s="2" t="s">
        <v>675</v>
      </c>
      <c r="E452" s="5">
        <f>VALUE("7159")</f>
        <v>7159</v>
      </c>
    </row>
    <row r="453" spans="1:5" x14ac:dyDescent="0.25">
      <c r="A453" s="2" t="s">
        <v>683</v>
      </c>
      <c r="B453" s="2" t="s">
        <v>684</v>
      </c>
      <c r="C453" s="5">
        <f>VALUE("2013")</f>
        <v>2013</v>
      </c>
      <c r="D453" s="2" t="s">
        <v>591</v>
      </c>
      <c r="E453" s="5">
        <f>VALUE("7158")</f>
        <v>7158</v>
      </c>
    </row>
    <row r="454" spans="1:5" x14ac:dyDescent="0.25">
      <c r="A454" s="2" t="s">
        <v>681</v>
      </c>
      <c r="B454" s="2" t="s">
        <v>682</v>
      </c>
      <c r="C454" s="5">
        <v>2012</v>
      </c>
      <c r="E454" s="5">
        <f>VALUE("7153")</f>
        <v>7153</v>
      </c>
    </row>
    <row r="455" spans="1:5" x14ac:dyDescent="0.25">
      <c r="A455" s="2" t="s">
        <v>679</v>
      </c>
      <c r="B455" s="2" t="s">
        <v>680</v>
      </c>
      <c r="C455" s="5">
        <f>VALUE("2013")</f>
        <v>2013</v>
      </c>
      <c r="D455" s="2" t="s">
        <v>32</v>
      </c>
      <c r="E455" s="5">
        <f>VALUE("7152")</f>
        <v>7152</v>
      </c>
    </row>
    <row r="456" spans="1:5" x14ac:dyDescent="0.25">
      <c r="A456" s="2" t="s">
        <v>673</v>
      </c>
      <c r="B456" s="2" t="s">
        <v>674</v>
      </c>
      <c r="C456" s="5">
        <f>VALUE("2016")</f>
        <v>2016</v>
      </c>
      <c r="D456" s="2" t="s">
        <v>675</v>
      </c>
      <c r="E456" s="5">
        <f>VALUE("7151")</f>
        <v>7151</v>
      </c>
    </row>
    <row r="457" spans="1:5" x14ac:dyDescent="0.25">
      <c r="A457" s="2" t="s">
        <v>670</v>
      </c>
      <c r="B457" s="2" t="s">
        <v>671</v>
      </c>
      <c r="C457" s="5">
        <f>VALUE("2015")</f>
        <v>2015</v>
      </c>
      <c r="D457" s="2" t="s">
        <v>672</v>
      </c>
      <c r="E457" s="5">
        <f>VALUE("7151")</f>
        <v>7151</v>
      </c>
    </row>
    <row r="458" spans="1:5" x14ac:dyDescent="0.25">
      <c r="A458" s="2" t="s">
        <v>676</v>
      </c>
      <c r="B458" s="2" t="s">
        <v>677</v>
      </c>
      <c r="C458" s="5">
        <f>VALUE("2015")</f>
        <v>2015</v>
      </c>
      <c r="D458" s="2" t="s">
        <v>678</v>
      </c>
      <c r="E458" s="5">
        <f>VALUE("7151")</f>
        <v>7151</v>
      </c>
    </row>
    <row r="459" spans="1:5" x14ac:dyDescent="0.25">
      <c r="A459" s="2" t="s">
        <v>665</v>
      </c>
      <c r="B459" s="2" t="s">
        <v>666</v>
      </c>
      <c r="C459" s="5">
        <f>VALUE("2016")</f>
        <v>2016</v>
      </c>
      <c r="D459" s="2" t="s">
        <v>667</v>
      </c>
      <c r="E459" s="5">
        <f>VALUE("7150")</f>
        <v>7150</v>
      </c>
    </row>
    <row r="460" spans="1:5" x14ac:dyDescent="0.25">
      <c r="A460" s="2" t="s">
        <v>668</v>
      </c>
      <c r="B460" s="2" t="s">
        <v>669</v>
      </c>
      <c r="C460" s="5">
        <f>VALUE("2014")</f>
        <v>2014</v>
      </c>
      <c r="D460" s="2" t="s">
        <v>667</v>
      </c>
      <c r="E460" s="5">
        <f>VALUE("7150")</f>
        <v>7150</v>
      </c>
    </row>
    <row r="461" spans="1:5" x14ac:dyDescent="0.25">
      <c r="A461" s="2" t="s">
        <v>2008</v>
      </c>
      <c r="B461" s="2" t="s">
        <v>663</v>
      </c>
      <c r="C461" s="5">
        <f>VALUE("2015")</f>
        <v>2015</v>
      </c>
      <c r="D461" s="2" t="s">
        <v>664</v>
      </c>
      <c r="E461" s="5">
        <f>VALUE("7149")</f>
        <v>7149</v>
      </c>
    </row>
    <row r="462" spans="1:5" x14ac:dyDescent="0.25">
      <c r="A462" s="2" t="s">
        <v>661</v>
      </c>
      <c r="B462" s="2" t="s">
        <v>2100</v>
      </c>
      <c r="C462" s="5">
        <f>VALUE("2013")</f>
        <v>2013</v>
      </c>
      <c r="D462" s="2" t="s">
        <v>662</v>
      </c>
      <c r="E462" s="5">
        <f>VALUE("7141")</f>
        <v>7141</v>
      </c>
    </row>
    <row r="463" spans="1:5" x14ac:dyDescent="0.25">
      <c r="A463" s="2" t="s">
        <v>1909</v>
      </c>
      <c r="B463" s="2" t="s">
        <v>1910</v>
      </c>
      <c r="C463" s="5">
        <v>2011</v>
      </c>
      <c r="D463" s="2" t="s">
        <v>1911</v>
      </c>
      <c r="E463" s="5">
        <v>7140</v>
      </c>
    </row>
    <row r="464" spans="1:5" x14ac:dyDescent="0.25">
      <c r="A464" s="3" t="s">
        <v>2009</v>
      </c>
      <c r="B464" s="2" t="s">
        <v>658</v>
      </c>
      <c r="C464" s="5">
        <f>VALUE("2013")</f>
        <v>2013</v>
      </c>
      <c r="D464" s="2" t="s">
        <v>659</v>
      </c>
      <c r="E464" s="5">
        <f>VALUE("7136")</f>
        <v>7136</v>
      </c>
    </row>
    <row r="465" spans="1:5" x14ac:dyDescent="0.25">
      <c r="A465" s="3" t="s">
        <v>2011</v>
      </c>
      <c r="B465" s="3" t="s">
        <v>2010</v>
      </c>
      <c r="C465" s="5">
        <f>VALUE("2013")</f>
        <v>2013</v>
      </c>
      <c r="D465" s="2" t="s">
        <v>660</v>
      </c>
      <c r="E465" s="5">
        <f>VALUE("7136")</f>
        <v>7136</v>
      </c>
    </row>
    <row r="466" spans="1:5" x14ac:dyDescent="0.25">
      <c r="A466" s="2" t="s">
        <v>2012</v>
      </c>
      <c r="B466" s="2" t="s">
        <v>656</v>
      </c>
      <c r="C466" s="5">
        <f>VALUE("2014")</f>
        <v>2014</v>
      </c>
      <c r="D466" s="2" t="s">
        <v>657</v>
      </c>
      <c r="E466" s="5">
        <f>VALUE("7135")</f>
        <v>7135</v>
      </c>
    </row>
    <row r="467" spans="1:5" x14ac:dyDescent="0.25">
      <c r="A467" s="2" t="s">
        <v>2013</v>
      </c>
      <c r="B467" s="2" t="s">
        <v>656</v>
      </c>
      <c r="C467" s="5">
        <f>VALUE("2012")</f>
        <v>2012</v>
      </c>
      <c r="D467" s="2" t="s">
        <v>657</v>
      </c>
      <c r="E467" s="5">
        <f>VALUE("7135")</f>
        <v>7135</v>
      </c>
    </row>
    <row r="468" spans="1:5" x14ac:dyDescent="0.25">
      <c r="A468" s="2" t="s">
        <v>647</v>
      </c>
      <c r="B468" s="2" t="s">
        <v>2101</v>
      </c>
      <c r="C468" s="5">
        <f>VALUE("2013")</f>
        <v>2013</v>
      </c>
      <c r="D468" s="2" t="s">
        <v>648</v>
      </c>
      <c r="E468" s="5">
        <f>VALUE("7134")</f>
        <v>7134</v>
      </c>
    </row>
    <row r="469" spans="1:5" x14ac:dyDescent="0.25">
      <c r="A469" s="2" t="s">
        <v>649</v>
      </c>
      <c r="B469" s="2" t="s">
        <v>2102</v>
      </c>
      <c r="C469" s="5">
        <f>VALUE("2013")</f>
        <v>2013</v>
      </c>
      <c r="D469" s="2" t="s">
        <v>650</v>
      </c>
      <c r="E469" s="5">
        <f>VALUE("7134")</f>
        <v>7134</v>
      </c>
    </row>
    <row r="470" spans="1:5" x14ac:dyDescent="0.25">
      <c r="A470" s="2" t="s">
        <v>651</v>
      </c>
      <c r="B470" s="2" t="s">
        <v>2103</v>
      </c>
      <c r="C470" s="5">
        <f>VALUE("2012")</f>
        <v>2012</v>
      </c>
      <c r="D470" s="2" t="s">
        <v>652</v>
      </c>
      <c r="E470" s="5">
        <f>VALUE("7134")</f>
        <v>7134</v>
      </c>
    </row>
    <row r="471" spans="1:5" x14ac:dyDescent="0.25">
      <c r="A471" s="2" t="s">
        <v>653</v>
      </c>
      <c r="B471" s="2" t="s">
        <v>2104</v>
      </c>
      <c r="C471" s="5">
        <f>VALUE("2012")</f>
        <v>2012</v>
      </c>
      <c r="D471" s="2" t="s">
        <v>654</v>
      </c>
      <c r="E471" s="5">
        <f>VALUE("7134")</f>
        <v>7134</v>
      </c>
    </row>
    <row r="472" spans="1:5" x14ac:dyDescent="0.25">
      <c r="A472" s="2" t="s">
        <v>655</v>
      </c>
      <c r="B472" s="2" t="s">
        <v>2104</v>
      </c>
      <c r="D472" s="2" t="s">
        <v>229</v>
      </c>
      <c r="E472" s="5">
        <f>VALUE("7134")</f>
        <v>7134</v>
      </c>
    </row>
    <row r="473" spans="1:5" x14ac:dyDescent="0.25">
      <c r="A473" s="2" t="s">
        <v>644</v>
      </c>
      <c r="B473" s="2" t="s">
        <v>645</v>
      </c>
      <c r="C473" s="5">
        <f>VALUE("2016")</f>
        <v>2016</v>
      </c>
      <c r="D473" s="2" t="s">
        <v>646</v>
      </c>
      <c r="E473" s="5">
        <f>VALUE("7131")</f>
        <v>7131</v>
      </c>
    </row>
    <row r="474" spans="1:5" x14ac:dyDescent="0.25">
      <c r="A474" s="2" t="s">
        <v>640</v>
      </c>
      <c r="B474" s="2" t="s">
        <v>641</v>
      </c>
      <c r="C474" s="5">
        <f>VALUE("2014")</f>
        <v>2014</v>
      </c>
      <c r="D474" s="2" t="s">
        <v>642</v>
      </c>
      <c r="E474" s="5">
        <f>VALUE("7131")</f>
        <v>7131</v>
      </c>
    </row>
    <row r="475" spans="1:5" x14ac:dyDescent="0.25">
      <c r="A475" s="3" t="s">
        <v>2014</v>
      </c>
      <c r="B475" s="3" t="s">
        <v>2015</v>
      </c>
      <c r="C475" s="5">
        <f>VALUE("2013")</f>
        <v>2013</v>
      </c>
      <c r="D475" s="2" t="s">
        <v>2016</v>
      </c>
      <c r="E475" s="5">
        <f>VALUE("7131")</f>
        <v>7131</v>
      </c>
    </row>
    <row r="476" spans="1:5" x14ac:dyDescent="0.25">
      <c r="A476" s="3" t="s">
        <v>2018</v>
      </c>
      <c r="B476" s="3" t="s">
        <v>2017</v>
      </c>
      <c r="C476" s="5">
        <f>VALUE("2012")</f>
        <v>2012</v>
      </c>
      <c r="D476" s="2" t="s">
        <v>639</v>
      </c>
      <c r="E476" s="5">
        <f>VALUE("7131")</f>
        <v>7131</v>
      </c>
    </row>
    <row r="477" spans="1:5" x14ac:dyDescent="0.25">
      <c r="A477" s="3" t="s">
        <v>2019</v>
      </c>
      <c r="B477" s="2" t="s">
        <v>444</v>
      </c>
      <c r="C477" s="5">
        <f>VALUE("2012")</f>
        <v>2012</v>
      </c>
      <c r="D477" s="2" t="s">
        <v>643</v>
      </c>
      <c r="E477" s="5">
        <f>VALUE("7131")</f>
        <v>7131</v>
      </c>
    </row>
    <row r="478" spans="1:5" x14ac:dyDescent="0.25">
      <c r="A478" s="2" t="s">
        <v>2020</v>
      </c>
      <c r="B478" s="2" t="s">
        <v>638</v>
      </c>
      <c r="C478" s="5">
        <f>VALUE("2013")</f>
        <v>2013</v>
      </c>
      <c r="D478" s="2" t="s">
        <v>222</v>
      </c>
      <c r="E478" s="5">
        <f>VALUE("7129")</f>
        <v>7129</v>
      </c>
    </row>
    <row r="479" spans="1:5" x14ac:dyDescent="0.25">
      <c r="A479" s="7" t="s">
        <v>1907</v>
      </c>
      <c r="B479" s="2" t="s">
        <v>1908</v>
      </c>
      <c r="C479" s="5">
        <v>2011</v>
      </c>
      <c r="E479" s="5">
        <v>7126</v>
      </c>
    </row>
    <row r="480" spans="1:5" x14ac:dyDescent="0.25">
      <c r="A480" s="2" t="s">
        <v>1905</v>
      </c>
      <c r="B480" s="2" t="s">
        <v>1906</v>
      </c>
      <c r="C480" s="5">
        <v>2010</v>
      </c>
      <c r="E480" s="5">
        <v>7126</v>
      </c>
    </row>
    <row r="481" spans="1:5" x14ac:dyDescent="0.25">
      <c r="A481" s="2" t="s">
        <v>2021</v>
      </c>
      <c r="B481" s="2" t="s">
        <v>632</v>
      </c>
      <c r="C481" s="5">
        <f>VALUE("2014")</f>
        <v>2014</v>
      </c>
      <c r="D481" s="2" t="s">
        <v>633</v>
      </c>
      <c r="E481" s="5">
        <f>VALUE("7123")</f>
        <v>7123</v>
      </c>
    </row>
    <row r="482" spans="1:5" x14ac:dyDescent="0.25">
      <c r="A482" s="2" t="s">
        <v>2022</v>
      </c>
      <c r="B482" s="2" t="s">
        <v>636</v>
      </c>
      <c r="C482" s="5">
        <f>VALUE("2014")</f>
        <v>2014</v>
      </c>
      <c r="D482" s="2" t="s">
        <v>637</v>
      </c>
      <c r="E482" s="5">
        <f>VALUE("7123")</f>
        <v>7123</v>
      </c>
    </row>
    <row r="483" spans="1:5" x14ac:dyDescent="0.25">
      <c r="A483" s="2" t="s">
        <v>2023</v>
      </c>
      <c r="B483" s="2" t="s">
        <v>634</v>
      </c>
      <c r="C483" s="5">
        <f>VALUE("2013")</f>
        <v>2013</v>
      </c>
      <c r="D483" s="2" t="s">
        <v>635</v>
      </c>
      <c r="E483" s="5">
        <f>VALUE("7123")</f>
        <v>7123</v>
      </c>
    </row>
    <row r="484" spans="1:5" x14ac:dyDescent="0.25">
      <c r="A484" s="2" t="s">
        <v>629</v>
      </c>
      <c r="B484" s="2" t="s">
        <v>630</v>
      </c>
      <c r="C484" s="5">
        <f>VALUE("2017")</f>
        <v>2017</v>
      </c>
      <c r="D484" s="2" t="s">
        <v>631</v>
      </c>
      <c r="E484" s="5">
        <f>VALUE("7121")</f>
        <v>7121</v>
      </c>
    </row>
    <row r="485" spans="1:5" x14ac:dyDescent="0.25">
      <c r="A485" s="2" t="s">
        <v>627</v>
      </c>
      <c r="B485" s="2" t="s">
        <v>622</v>
      </c>
      <c r="C485" s="5">
        <f>VALUE("2015")</f>
        <v>2015</v>
      </c>
      <c r="D485" s="2" t="s">
        <v>628</v>
      </c>
      <c r="E485" s="5">
        <f>VALUE("7121")</f>
        <v>7121</v>
      </c>
    </row>
    <row r="486" spans="1:5" x14ac:dyDescent="0.25">
      <c r="A486" s="2" t="s">
        <v>624</v>
      </c>
      <c r="B486" s="2" t="s">
        <v>625</v>
      </c>
      <c r="C486" s="5">
        <f>VALUE("2014")</f>
        <v>2014</v>
      </c>
      <c r="D486" s="2" t="s">
        <v>626</v>
      </c>
      <c r="E486" s="5">
        <f>VALUE("7121")</f>
        <v>7121</v>
      </c>
    </row>
    <row r="487" spans="1:5" x14ac:dyDescent="0.25">
      <c r="A487" s="2" t="s">
        <v>621</v>
      </c>
      <c r="B487" s="2" t="s">
        <v>622</v>
      </c>
      <c r="C487" s="5">
        <f>VALUE("2013")</f>
        <v>2013</v>
      </c>
      <c r="D487" s="2" t="s">
        <v>623</v>
      </c>
      <c r="E487" s="5">
        <f>VALUE("7121")</f>
        <v>7121</v>
      </c>
    </row>
    <row r="488" spans="1:5" x14ac:dyDescent="0.25">
      <c r="A488" s="2" t="s">
        <v>619</v>
      </c>
      <c r="B488" s="2" t="s">
        <v>2099</v>
      </c>
      <c r="C488" s="5">
        <v>2012</v>
      </c>
      <c r="D488" s="2" t="s">
        <v>620</v>
      </c>
      <c r="E488" s="5">
        <f>VALUE("7119")</f>
        <v>7119</v>
      </c>
    </row>
    <row r="489" spans="1:5" x14ac:dyDescent="0.25">
      <c r="A489" s="2" t="s">
        <v>2024</v>
      </c>
      <c r="B489" s="2" t="s">
        <v>604</v>
      </c>
      <c r="C489" s="5">
        <f>VALUE("2013")</f>
        <v>2013</v>
      </c>
      <c r="D489" s="2" t="s">
        <v>606</v>
      </c>
      <c r="E489" s="5">
        <f>VALUE("7118")</f>
        <v>7118</v>
      </c>
    </row>
    <row r="490" spans="1:5" x14ac:dyDescent="0.25">
      <c r="A490" s="2" t="s">
        <v>614</v>
      </c>
      <c r="B490" s="2" t="s">
        <v>604</v>
      </c>
      <c r="C490" s="5">
        <f>VALUE("2013")</f>
        <v>2013</v>
      </c>
      <c r="D490" s="2" t="s">
        <v>615</v>
      </c>
      <c r="E490" s="5">
        <f>VALUE("7118")</f>
        <v>7118</v>
      </c>
    </row>
    <row r="491" spans="1:5" x14ac:dyDescent="0.25">
      <c r="A491" s="2" t="s">
        <v>598</v>
      </c>
      <c r="B491" s="2" t="s">
        <v>2091</v>
      </c>
      <c r="C491" s="5">
        <f>VALUE("2012")</f>
        <v>2012</v>
      </c>
      <c r="D491" s="2" t="s">
        <v>599</v>
      </c>
      <c r="E491" s="5">
        <f>VALUE("7118")</f>
        <v>7118</v>
      </c>
    </row>
    <row r="492" spans="1:5" x14ac:dyDescent="0.25">
      <c r="A492" s="2" t="s">
        <v>607</v>
      </c>
      <c r="B492" s="2" t="s">
        <v>604</v>
      </c>
      <c r="C492" s="5">
        <f>VALUE("2012")</f>
        <v>2012</v>
      </c>
      <c r="D492" s="2" t="s">
        <v>608</v>
      </c>
      <c r="E492" s="5">
        <f>VALUE("7118")</f>
        <v>7118</v>
      </c>
    </row>
    <row r="493" spans="1:5" x14ac:dyDescent="0.25">
      <c r="A493" s="2" t="s">
        <v>597</v>
      </c>
      <c r="B493" s="2" t="s">
        <v>2092</v>
      </c>
      <c r="C493" s="5">
        <f>VALUE("2011")</f>
        <v>2011</v>
      </c>
      <c r="D493" s="2" t="s">
        <v>19</v>
      </c>
      <c r="E493" s="5">
        <f>VALUE("7118")</f>
        <v>7118</v>
      </c>
    </row>
    <row r="494" spans="1:5" x14ac:dyDescent="0.25">
      <c r="A494" s="2" t="s">
        <v>603</v>
      </c>
      <c r="B494" s="2" t="s">
        <v>604</v>
      </c>
      <c r="C494" s="5">
        <f>VALUE("2011")</f>
        <v>2011</v>
      </c>
      <c r="D494" s="2" t="s">
        <v>605</v>
      </c>
      <c r="E494" s="5">
        <f>VALUE("7118")</f>
        <v>7118</v>
      </c>
    </row>
    <row r="495" spans="1:5" x14ac:dyDescent="0.25">
      <c r="A495" s="2" t="s">
        <v>607</v>
      </c>
      <c r="B495" s="2" t="s">
        <v>604</v>
      </c>
      <c r="C495" s="5">
        <f>VALUE("2011")</f>
        <v>2011</v>
      </c>
      <c r="D495" s="2" t="s">
        <v>609</v>
      </c>
      <c r="E495" s="5">
        <f>VALUE("7118")</f>
        <v>7118</v>
      </c>
    </row>
    <row r="496" spans="1:5" x14ac:dyDescent="0.25">
      <c r="A496" s="2" t="s">
        <v>612</v>
      </c>
      <c r="B496" s="2" t="s">
        <v>604</v>
      </c>
      <c r="C496" s="5">
        <f>VALUE("2011")</f>
        <v>2011</v>
      </c>
      <c r="D496" s="2" t="s">
        <v>613</v>
      </c>
      <c r="E496" s="5">
        <f>VALUE("7118")</f>
        <v>7118</v>
      </c>
    </row>
    <row r="497" spans="1:5" x14ac:dyDescent="0.25">
      <c r="A497" s="2" t="s">
        <v>616</v>
      </c>
      <c r="B497" s="2" t="s">
        <v>604</v>
      </c>
      <c r="C497" s="5">
        <f>VALUE("2010")</f>
        <v>2010</v>
      </c>
      <c r="D497" s="2" t="s">
        <v>19</v>
      </c>
      <c r="E497" s="5">
        <f>VALUE("7118")</f>
        <v>7118</v>
      </c>
    </row>
    <row r="498" spans="1:5" x14ac:dyDescent="0.25">
      <c r="A498" s="2" t="s">
        <v>600</v>
      </c>
      <c r="B498" s="2" t="s">
        <v>601</v>
      </c>
      <c r="C498" s="5">
        <f>VALUE("2008")</f>
        <v>2008</v>
      </c>
      <c r="D498" s="2" t="s">
        <v>602</v>
      </c>
      <c r="E498" s="5">
        <f>VALUE("7118")</f>
        <v>7118</v>
      </c>
    </row>
    <row r="499" spans="1:5" x14ac:dyDescent="0.25">
      <c r="A499" s="2" t="s">
        <v>610</v>
      </c>
      <c r="B499" s="2" t="s">
        <v>2093</v>
      </c>
      <c r="C499" s="5">
        <f>VALUE("2008")</f>
        <v>2008</v>
      </c>
      <c r="D499" s="2" t="s">
        <v>611</v>
      </c>
      <c r="E499" s="5">
        <f>VALUE("7118")</f>
        <v>7118</v>
      </c>
    </row>
    <row r="500" spans="1:5" x14ac:dyDescent="0.25">
      <c r="A500" s="2" t="s">
        <v>2025</v>
      </c>
      <c r="B500" s="2" t="s">
        <v>2094</v>
      </c>
      <c r="C500" s="5">
        <f>VALUE("2008")</f>
        <v>2008</v>
      </c>
      <c r="D500" s="2" t="s">
        <v>19</v>
      </c>
      <c r="E500" s="5">
        <f>VALUE("7118")</f>
        <v>7118</v>
      </c>
    </row>
    <row r="501" spans="1:5" x14ac:dyDescent="0.25">
      <c r="A501" s="2" t="s">
        <v>617</v>
      </c>
      <c r="B501" s="2" t="s">
        <v>604</v>
      </c>
      <c r="C501" s="5">
        <f>VALUE("2007")</f>
        <v>2007</v>
      </c>
      <c r="D501" s="2" t="s">
        <v>618</v>
      </c>
      <c r="E501" s="5">
        <f>VALUE("7118")</f>
        <v>7118</v>
      </c>
    </row>
    <row r="502" spans="1:5" x14ac:dyDescent="0.25">
      <c r="A502" s="2" t="s">
        <v>2026</v>
      </c>
      <c r="B502" s="2" t="s">
        <v>595</v>
      </c>
      <c r="C502" s="5">
        <f>VALUE("2014")</f>
        <v>2014</v>
      </c>
      <c r="D502" s="2" t="s">
        <v>596</v>
      </c>
      <c r="E502" s="5">
        <f>VALUE("7110")</f>
        <v>7110</v>
      </c>
    </row>
    <row r="503" spans="1:5" x14ac:dyDescent="0.25">
      <c r="A503" s="3" t="s">
        <v>2027</v>
      </c>
      <c r="B503" s="2" t="s">
        <v>587</v>
      </c>
      <c r="C503" s="5">
        <f>VALUE("2014")</f>
        <v>2014</v>
      </c>
      <c r="D503" s="2" t="s">
        <v>588</v>
      </c>
      <c r="E503" s="5">
        <f>VALUE("7109")</f>
        <v>7109</v>
      </c>
    </row>
    <row r="504" spans="1:5" x14ac:dyDescent="0.25">
      <c r="A504" s="2" t="s">
        <v>589</v>
      </c>
      <c r="B504" s="2" t="s">
        <v>590</v>
      </c>
      <c r="C504" s="5">
        <f>VALUE("2013")</f>
        <v>2013</v>
      </c>
      <c r="D504" s="2" t="s">
        <v>591</v>
      </c>
      <c r="E504" s="5">
        <f>VALUE("7109")</f>
        <v>7109</v>
      </c>
    </row>
    <row r="505" spans="1:5" x14ac:dyDescent="0.25">
      <c r="A505" s="2" t="s">
        <v>583</v>
      </c>
      <c r="B505" s="2" t="s">
        <v>2095</v>
      </c>
      <c r="C505" s="5">
        <f>VALUE("2011")</f>
        <v>2011</v>
      </c>
      <c r="D505" s="2" t="s">
        <v>584</v>
      </c>
      <c r="E505" s="5">
        <f>VALUE("7109")</f>
        <v>7109</v>
      </c>
    </row>
    <row r="506" spans="1:5" x14ac:dyDescent="0.25">
      <c r="A506" s="2" t="s">
        <v>592</v>
      </c>
      <c r="B506" s="2" t="s">
        <v>2096</v>
      </c>
      <c r="C506" s="5">
        <f>VALUE("2011")</f>
        <v>2011</v>
      </c>
      <c r="D506" s="2" t="s">
        <v>586</v>
      </c>
      <c r="E506" s="5">
        <f>VALUE("7109")</f>
        <v>7109</v>
      </c>
    </row>
    <row r="507" spans="1:5" x14ac:dyDescent="0.25">
      <c r="A507" s="2" t="s">
        <v>593</v>
      </c>
      <c r="B507" s="2" t="s">
        <v>2097</v>
      </c>
      <c r="C507" s="5">
        <f>VALUE("2011")</f>
        <v>2011</v>
      </c>
      <c r="D507" s="2" t="s">
        <v>594</v>
      </c>
      <c r="E507" s="5">
        <f>VALUE("7109")</f>
        <v>7109</v>
      </c>
    </row>
    <row r="508" spans="1:5" x14ac:dyDescent="0.25">
      <c r="A508" s="2" t="s">
        <v>585</v>
      </c>
      <c r="B508" s="2" t="s">
        <v>2098</v>
      </c>
      <c r="C508" s="5">
        <f>VALUE("2010")</f>
        <v>2010</v>
      </c>
      <c r="D508" s="2" t="s">
        <v>586</v>
      </c>
      <c r="E508" s="5">
        <f>VALUE("7109")</f>
        <v>7109</v>
      </c>
    </row>
    <row r="509" spans="1:5" x14ac:dyDescent="0.25">
      <c r="A509" s="2" t="s">
        <v>581</v>
      </c>
      <c r="B509" s="2" t="s">
        <v>570</v>
      </c>
      <c r="C509" s="5">
        <f>VALUE("2013")</f>
        <v>2013</v>
      </c>
      <c r="D509" s="2" t="s">
        <v>582</v>
      </c>
      <c r="E509" s="5">
        <f>VALUE("7108")</f>
        <v>7108</v>
      </c>
    </row>
    <row r="510" spans="1:5" x14ac:dyDescent="0.25">
      <c r="A510" s="2" t="s">
        <v>566</v>
      </c>
      <c r="B510" s="2" t="s">
        <v>567</v>
      </c>
      <c r="C510" s="5">
        <f>VALUE("2012")</f>
        <v>2012</v>
      </c>
      <c r="D510" s="2" t="s">
        <v>568</v>
      </c>
      <c r="E510" s="5">
        <f>VALUE("7108")</f>
        <v>7108</v>
      </c>
    </row>
    <row r="511" spans="1:5" x14ac:dyDescent="0.25">
      <c r="A511" s="2" t="s">
        <v>569</v>
      </c>
      <c r="B511" s="2" t="s">
        <v>570</v>
      </c>
      <c r="C511" s="5">
        <f>VALUE("2012")</f>
        <v>2012</v>
      </c>
      <c r="D511" s="2" t="s">
        <v>571</v>
      </c>
      <c r="E511" s="5">
        <f>VALUE("7108")</f>
        <v>7108</v>
      </c>
    </row>
    <row r="512" spans="1:5" x14ac:dyDescent="0.25">
      <c r="A512" s="2" t="s">
        <v>572</v>
      </c>
      <c r="B512" s="2" t="s">
        <v>573</v>
      </c>
      <c r="C512" s="5">
        <f>VALUE("2012")</f>
        <v>2012</v>
      </c>
      <c r="D512" s="2" t="s">
        <v>574</v>
      </c>
      <c r="E512" s="5">
        <f>VALUE("7108")</f>
        <v>7108</v>
      </c>
    </row>
    <row r="513" spans="1:5" x14ac:dyDescent="0.25">
      <c r="A513" s="2" t="s">
        <v>575</v>
      </c>
      <c r="B513" s="2" t="s">
        <v>576</v>
      </c>
      <c r="C513" s="5">
        <f>VALUE("2012")</f>
        <v>2012</v>
      </c>
      <c r="D513" s="2" t="s">
        <v>577</v>
      </c>
      <c r="E513" s="5">
        <f>VALUE("7108")</f>
        <v>7108</v>
      </c>
    </row>
    <row r="514" spans="1:5" x14ac:dyDescent="0.25">
      <c r="A514" s="2" t="s">
        <v>578</v>
      </c>
      <c r="B514" s="2" t="s">
        <v>579</v>
      </c>
      <c r="C514" s="5">
        <f>VALUE("2011")</f>
        <v>2011</v>
      </c>
      <c r="D514" s="2" t="s">
        <v>580</v>
      </c>
      <c r="E514" s="5">
        <f>VALUE("7108")</f>
        <v>7108</v>
      </c>
    </row>
    <row r="515" spans="1:5" x14ac:dyDescent="0.25">
      <c r="A515" s="2" t="s">
        <v>563</v>
      </c>
      <c r="B515" s="2" t="s">
        <v>564</v>
      </c>
      <c r="C515" s="5">
        <f>VALUE("2015")</f>
        <v>2015</v>
      </c>
      <c r="D515" s="2" t="s">
        <v>565</v>
      </c>
      <c r="E515" s="5">
        <f>VALUE("7102")</f>
        <v>7102</v>
      </c>
    </row>
    <row r="516" spans="1:5" x14ac:dyDescent="0.25">
      <c r="A516" s="2" t="s">
        <v>560</v>
      </c>
      <c r="B516" s="2" t="s">
        <v>561</v>
      </c>
      <c r="C516" s="5">
        <f>VALUE("2014")</f>
        <v>2014</v>
      </c>
      <c r="D516" s="2" t="s">
        <v>562</v>
      </c>
      <c r="E516" s="5">
        <f>VALUE("7102")</f>
        <v>7102</v>
      </c>
    </row>
    <row r="517" spans="1:5" x14ac:dyDescent="0.25">
      <c r="A517" s="2" t="s">
        <v>557</v>
      </c>
      <c r="B517" s="2" t="s">
        <v>558</v>
      </c>
      <c r="C517" s="5">
        <f>VALUE("2014")</f>
        <v>2014</v>
      </c>
      <c r="D517" s="2" t="s">
        <v>559</v>
      </c>
      <c r="E517" s="5">
        <f>VALUE("7100")</f>
        <v>7100</v>
      </c>
    </row>
    <row r="518" spans="1:5" x14ac:dyDescent="0.25">
      <c r="A518" s="2" t="s">
        <v>554</v>
      </c>
      <c r="B518" s="2" t="s">
        <v>555</v>
      </c>
      <c r="C518" s="5">
        <f>VALUE("2011")</f>
        <v>2011</v>
      </c>
      <c r="D518" s="2" t="s">
        <v>556</v>
      </c>
      <c r="E518" s="5">
        <f>VALUE("7099")</f>
        <v>7099</v>
      </c>
    </row>
    <row r="519" spans="1:5" x14ac:dyDescent="0.25">
      <c r="A519" s="2" t="s">
        <v>2028</v>
      </c>
      <c r="B519" s="2" t="s">
        <v>553</v>
      </c>
      <c r="C519" s="5">
        <f>VALUE("2012")</f>
        <v>2012</v>
      </c>
      <c r="D519" s="2" t="s">
        <v>552</v>
      </c>
      <c r="E519" s="5">
        <f>VALUE("7097")</f>
        <v>7097</v>
      </c>
    </row>
    <row r="520" spans="1:5" x14ac:dyDescent="0.25">
      <c r="A520" s="2" t="s">
        <v>550</v>
      </c>
      <c r="B520" s="2" t="s">
        <v>551</v>
      </c>
      <c r="C520" s="5">
        <f>VALUE("2013")</f>
        <v>2013</v>
      </c>
      <c r="D520" s="2" t="s">
        <v>552</v>
      </c>
      <c r="E520" s="5">
        <f>VALUE("7095")</f>
        <v>7095</v>
      </c>
    </row>
    <row r="521" spans="1:5" x14ac:dyDescent="0.25">
      <c r="A521" s="2" t="s">
        <v>1902</v>
      </c>
      <c r="B521" s="2" t="s">
        <v>1903</v>
      </c>
      <c r="C521" s="5">
        <v>2011</v>
      </c>
      <c r="D521" s="2" t="s">
        <v>1904</v>
      </c>
      <c r="E521" s="5">
        <v>7093</v>
      </c>
    </row>
    <row r="522" spans="1:5" x14ac:dyDescent="0.25">
      <c r="A522" s="2" t="s">
        <v>547</v>
      </c>
      <c r="B522" s="2" t="s">
        <v>548</v>
      </c>
      <c r="C522" s="5">
        <f>VALUE("2015")</f>
        <v>2015</v>
      </c>
      <c r="D522" s="2" t="s">
        <v>549</v>
      </c>
      <c r="E522" s="5">
        <f>VALUE("7092")</f>
        <v>7092</v>
      </c>
    </row>
    <row r="523" spans="1:5" x14ac:dyDescent="0.25">
      <c r="A523" s="2" t="s">
        <v>535</v>
      </c>
      <c r="B523" s="2" t="s">
        <v>536</v>
      </c>
      <c r="C523" s="5">
        <f>VALUE("2015")</f>
        <v>2015</v>
      </c>
      <c r="D523" s="2" t="s">
        <v>537</v>
      </c>
      <c r="E523" s="5">
        <f>VALUE("7086")</f>
        <v>7086</v>
      </c>
    </row>
    <row r="524" spans="1:5" x14ac:dyDescent="0.25">
      <c r="A524" s="2" t="s">
        <v>541</v>
      </c>
      <c r="B524" s="2" t="s">
        <v>539</v>
      </c>
      <c r="C524" s="5">
        <f>VALUE("2014")</f>
        <v>2014</v>
      </c>
      <c r="D524" s="2" t="s">
        <v>540</v>
      </c>
      <c r="E524" s="5">
        <f>VALUE("7086")</f>
        <v>7086</v>
      </c>
    </row>
    <row r="525" spans="1:5" x14ac:dyDescent="0.25">
      <c r="A525" s="2" t="s">
        <v>544</v>
      </c>
      <c r="B525" s="2" t="s">
        <v>545</v>
      </c>
      <c r="C525" s="5">
        <f>VALUE("2013")</f>
        <v>2013</v>
      </c>
      <c r="D525" s="2" t="s">
        <v>546</v>
      </c>
      <c r="E525" s="5">
        <f>VALUE("7086")</f>
        <v>7086</v>
      </c>
    </row>
    <row r="526" spans="1:5" x14ac:dyDescent="0.25">
      <c r="A526" s="2" t="s">
        <v>538</v>
      </c>
      <c r="B526" s="2" t="s">
        <v>539</v>
      </c>
      <c r="C526" s="5">
        <f>VALUE("2012")</f>
        <v>2012</v>
      </c>
      <c r="D526" s="2" t="s">
        <v>540</v>
      </c>
      <c r="E526" s="5">
        <f>VALUE("7086")</f>
        <v>7086</v>
      </c>
    </row>
    <row r="527" spans="1:5" x14ac:dyDescent="0.25">
      <c r="A527" s="2" t="s">
        <v>542</v>
      </c>
      <c r="B527" s="2" t="s">
        <v>539</v>
      </c>
      <c r="C527" s="5">
        <f>VALUE("2012")</f>
        <v>2012</v>
      </c>
      <c r="D527" s="2" t="s">
        <v>543</v>
      </c>
      <c r="E527" s="5">
        <f>VALUE("7086")</f>
        <v>7086</v>
      </c>
    </row>
    <row r="528" spans="1:5" x14ac:dyDescent="0.25">
      <c r="A528" s="2" t="s">
        <v>532</v>
      </c>
      <c r="B528" s="2" t="s">
        <v>533</v>
      </c>
      <c r="C528" s="5">
        <f>VALUE("2013")</f>
        <v>2013</v>
      </c>
      <c r="D528" s="2" t="s">
        <v>534</v>
      </c>
      <c r="E528" s="5">
        <f>VALUE("7085")</f>
        <v>7085</v>
      </c>
    </row>
    <row r="529" spans="1:5" x14ac:dyDescent="0.25">
      <c r="A529" s="2" t="s">
        <v>529</v>
      </c>
      <c r="B529" s="2" t="s">
        <v>530</v>
      </c>
      <c r="C529" s="5">
        <f>VALUE("2013")</f>
        <v>2013</v>
      </c>
      <c r="D529" s="2" t="s">
        <v>531</v>
      </c>
      <c r="E529" s="5">
        <f>VALUE("7084")</f>
        <v>7084</v>
      </c>
    </row>
    <row r="530" spans="1:5" x14ac:dyDescent="0.25">
      <c r="A530" s="2" t="s">
        <v>520</v>
      </c>
      <c r="B530" s="2" t="s">
        <v>521</v>
      </c>
      <c r="C530" s="5">
        <f>VALUE("2014")</f>
        <v>2014</v>
      </c>
      <c r="D530" s="2" t="s">
        <v>522</v>
      </c>
      <c r="E530" s="5">
        <f>VALUE("7081")</f>
        <v>7081</v>
      </c>
    </row>
    <row r="531" spans="1:5" x14ac:dyDescent="0.25">
      <c r="A531" s="2" t="s">
        <v>523</v>
      </c>
      <c r="B531" s="2" t="s">
        <v>524</v>
      </c>
      <c r="C531" s="5">
        <f>VALUE("2014")</f>
        <v>2014</v>
      </c>
      <c r="D531" s="2" t="s">
        <v>525</v>
      </c>
      <c r="E531" s="5">
        <f>VALUE("7081")</f>
        <v>7081</v>
      </c>
    </row>
    <row r="532" spans="1:5" x14ac:dyDescent="0.25">
      <c r="A532" s="2" t="s">
        <v>526</v>
      </c>
      <c r="B532" s="2" t="s">
        <v>527</v>
      </c>
      <c r="C532" s="5">
        <f>VALUE("2013")</f>
        <v>2013</v>
      </c>
      <c r="D532" s="2" t="s">
        <v>528</v>
      </c>
      <c r="E532" s="5">
        <f>VALUE("7081")</f>
        <v>7081</v>
      </c>
    </row>
    <row r="533" spans="1:5" x14ac:dyDescent="0.25">
      <c r="A533" s="2" t="s">
        <v>510</v>
      </c>
      <c r="B533" s="2" t="s">
        <v>511</v>
      </c>
      <c r="C533" s="5">
        <f>VALUE("2012")</f>
        <v>2012</v>
      </c>
      <c r="D533" s="2" t="s">
        <v>512</v>
      </c>
      <c r="E533" s="5">
        <f>VALUE("7080")</f>
        <v>7080</v>
      </c>
    </row>
    <row r="534" spans="1:5" x14ac:dyDescent="0.25">
      <c r="A534" s="2" t="s">
        <v>515</v>
      </c>
      <c r="B534" s="2" t="s">
        <v>516</v>
      </c>
      <c r="C534" s="5">
        <f>VALUE("2012")</f>
        <v>2012</v>
      </c>
      <c r="D534" s="2" t="s">
        <v>514</v>
      </c>
      <c r="E534" s="5">
        <f>VALUE("7080")</f>
        <v>7080</v>
      </c>
    </row>
    <row r="535" spans="1:5" x14ac:dyDescent="0.25">
      <c r="A535" s="2" t="s">
        <v>517</v>
      </c>
      <c r="B535" s="2" t="s">
        <v>518</v>
      </c>
      <c r="C535" s="5">
        <f>VALUE("2012")</f>
        <v>2012</v>
      </c>
      <c r="D535" s="2" t="s">
        <v>519</v>
      </c>
      <c r="E535" s="5">
        <f>VALUE("7080")</f>
        <v>7080</v>
      </c>
    </row>
    <row r="536" spans="1:5" x14ac:dyDescent="0.25">
      <c r="A536" s="3" t="s">
        <v>2029</v>
      </c>
      <c r="B536" s="2" t="s">
        <v>513</v>
      </c>
      <c r="C536" s="5">
        <f>VALUE("2011")</f>
        <v>2011</v>
      </c>
      <c r="D536" s="2" t="s">
        <v>514</v>
      </c>
      <c r="E536" s="5">
        <f>VALUE("7080")</f>
        <v>7080</v>
      </c>
    </row>
    <row r="537" spans="1:5" x14ac:dyDescent="0.25">
      <c r="A537" s="2" t="s">
        <v>1901</v>
      </c>
      <c r="B537" s="2" t="s">
        <v>1185</v>
      </c>
      <c r="C537" s="5">
        <v>2010</v>
      </c>
      <c r="D537" s="2" t="s">
        <v>953</v>
      </c>
      <c r="E537" s="5">
        <v>7075</v>
      </c>
    </row>
    <row r="538" spans="1:5" x14ac:dyDescent="0.25">
      <c r="A538" s="2" t="s">
        <v>507</v>
      </c>
      <c r="B538" s="2" t="s">
        <v>508</v>
      </c>
      <c r="C538" s="5">
        <f>VALUE("2014")</f>
        <v>2014</v>
      </c>
      <c r="D538" s="2" t="s">
        <v>509</v>
      </c>
      <c r="E538" s="5">
        <f>VALUE("7068")</f>
        <v>7068</v>
      </c>
    </row>
    <row r="539" spans="1:5" x14ac:dyDescent="0.25">
      <c r="A539" s="2" t="s">
        <v>505</v>
      </c>
      <c r="B539" s="3" t="s">
        <v>2030</v>
      </c>
      <c r="C539" s="5">
        <f>VALUE("2016")</f>
        <v>2016</v>
      </c>
      <c r="D539" s="2" t="s">
        <v>506</v>
      </c>
      <c r="E539" s="5">
        <f>VALUE("7067")</f>
        <v>7067</v>
      </c>
    </row>
    <row r="540" spans="1:5" ht="30" x14ac:dyDescent="0.25">
      <c r="A540" s="3" t="s">
        <v>2031</v>
      </c>
      <c r="B540" s="2" t="s">
        <v>503</v>
      </c>
      <c r="C540" s="5">
        <f>VALUE("2015")</f>
        <v>2015</v>
      </c>
      <c r="D540" s="2" t="s">
        <v>504</v>
      </c>
      <c r="E540" s="5">
        <f>VALUE("7067")</f>
        <v>7067</v>
      </c>
    </row>
    <row r="541" spans="1:5" x14ac:dyDescent="0.25">
      <c r="A541" s="3" t="s">
        <v>2032</v>
      </c>
      <c r="B541" s="2" t="s">
        <v>501</v>
      </c>
      <c r="C541" s="5">
        <f>VALUE("2014")</f>
        <v>2014</v>
      </c>
      <c r="D541" s="2" t="s">
        <v>502</v>
      </c>
      <c r="E541" s="5">
        <f>VALUE("7067")</f>
        <v>7067</v>
      </c>
    </row>
    <row r="542" spans="1:5" x14ac:dyDescent="0.25">
      <c r="A542" s="7" t="s">
        <v>500</v>
      </c>
      <c r="B542" s="3" t="s">
        <v>2035</v>
      </c>
      <c r="C542" s="5">
        <f>VALUE("2013")</f>
        <v>2013</v>
      </c>
      <c r="D542" s="2" t="s">
        <v>499</v>
      </c>
      <c r="E542" s="5">
        <f>VALUE("7067")</f>
        <v>7067</v>
      </c>
    </row>
    <row r="543" spans="1:5" x14ac:dyDescent="0.25">
      <c r="A543" s="7" t="s">
        <v>498</v>
      </c>
      <c r="B543" s="3" t="s">
        <v>2033</v>
      </c>
      <c r="C543" s="5">
        <f>VALUE("2013")</f>
        <v>2013</v>
      </c>
      <c r="D543" s="2" t="s">
        <v>499</v>
      </c>
      <c r="E543" s="5">
        <f>VALUE("7067")</f>
        <v>7067</v>
      </c>
    </row>
    <row r="544" spans="1:5" x14ac:dyDescent="0.25">
      <c r="A544" s="3" t="s">
        <v>2036</v>
      </c>
      <c r="B544" s="3" t="s">
        <v>2034</v>
      </c>
      <c r="C544" s="5">
        <f>VALUE("2012")</f>
        <v>2012</v>
      </c>
      <c r="D544" s="2" t="s">
        <v>497</v>
      </c>
      <c r="E544" s="5">
        <f>VALUE("7067")</f>
        <v>7067</v>
      </c>
    </row>
    <row r="545" spans="1:5" x14ac:dyDescent="0.25">
      <c r="A545" s="7" t="s">
        <v>1899</v>
      </c>
      <c r="B545" s="2" t="s">
        <v>1900</v>
      </c>
      <c r="C545" s="5">
        <v>2011</v>
      </c>
      <c r="D545" s="2" t="s">
        <v>552</v>
      </c>
      <c r="E545" s="5">
        <v>7066</v>
      </c>
    </row>
    <row r="546" spans="1:5" x14ac:dyDescent="0.25">
      <c r="A546" s="2" t="s">
        <v>494</v>
      </c>
      <c r="B546" s="2" t="s">
        <v>495</v>
      </c>
      <c r="C546" s="5">
        <f>VALUE("2013")</f>
        <v>2013</v>
      </c>
      <c r="D546" s="2" t="s">
        <v>496</v>
      </c>
      <c r="E546" s="5">
        <f>VALUE("7062")</f>
        <v>7062</v>
      </c>
    </row>
    <row r="547" spans="1:5" x14ac:dyDescent="0.25">
      <c r="A547" s="3" t="s">
        <v>2037</v>
      </c>
      <c r="B547" s="2" t="s">
        <v>492</v>
      </c>
      <c r="C547" s="5">
        <f>VALUE("2015")</f>
        <v>2015</v>
      </c>
      <c r="D547" s="2" t="s">
        <v>493</v>
      </c>
      <c r="E547" s="5">
        <f>VALUE("7060")</f>
        <v>7060</v>
      </c>
    </row>
    <row r="548" spans="1:5" x14ac:dyDescent="0.25">
      <c r="A548" s="7" t="s">
        <v>1895</v>
      </c>
      <c r="B548" s="2" t="s">
        <v>1896</v>
      </c>
      <c r="C548" s="5">
        <v>2011</v>
      </c>
      <c r="D548" s="2" t="s">
        <v>591</v>
      </c>
      <c r="E548" s="5">
        <v>7058</v>
      </c>
    </row>
    <row r="549" spans="1:5" x14ac:dyDescent="0.25">
      <c r="A549" s="2" t="s">
        <v>1893</v>
      </c>
      <c r="B549" s="2" t="s">
        <v>1894</v>
      </c>
      <c r="C549" s="5">
        <v>2010</v>
      </c>
      <c r="D549" s="2" t="s">
        <v>591</v>
      </c>
      <c r="E549" s="5">
        <v>7058</v>
      </c>
    </row>
    <row r="550" spans="1:5" x14ac:dyDescent="0.25">
      <c r="A550" s="2" t="s">
        <v>1891</v>
      </c>
      <c r="B550" s="2" t="s">
        <v>1892</v>
      </c>
      <c r="C550" s="5">
        <v>2010</v>
      </c>
      <c r="D550" s="2" t="s">
        <v>591</v>
      </c>
      <c r="E550" s="5">
        <v>7058</v>
      </c>
    </row>
    <row r="551" spans="1:5" x14ac:dyDescent="0.25">
      <c r="A551" s="2" t="s">
        <v>1897</v>
      </c>
      <c r="B551" s="2" t="s">
        <v>1898</v>
      </c>
      <c r="C551" s="5">
        <v>2007</v>
      </c>
      <c r="D551" s="2" t="s">
        <v>591</v>
      </c>
      <c r="E551" s="5">
        <v>7058</v>
      </c>
    </row>
    <row r="552" spans="1:5" x14ac:dyDescent="0.25">
      <c r="A552" s="2" t="s">
        <v>1889</v>
      </c>
      <c r="B552" s="2" t="s">
        <v>1890</v>
      </c>
      <c r="C552" s="5">
        <v>2011</v>
      </c>
      <c r="D552" s="2" t="s">
        <v>591</v>
      </c>
      <c r="E552" s="5">
        <v>7057</v>
      </c>
    </row>
    <row r="553" spans="1:5" x14ac:dyDescent="0.25">
      <c r="A553" s="2" t="s">
        <v>477</v>
      </c>
      <c r="B553" s="2" t="s">
        <v>478</v>
      </c>
      <c r="C553" s="5">
        <f>VALUE("2014")</f>
        <v>2014</v>
      </c>
      <c r="D553" s="2" t="s">
        <v>479</v>
      </c>
      <c r="E553" s="5">
        <f>VALUE("7055")</f>
        <v>7055</v>
      </c>
    </row>
    <row r="554" spans="1:5" x14ac:dyDescent="0.25">
      <c r="A554" s="2" t="s">
        <v>480</v>
      </c>
      <c r="B554" s="2" t="s">
        <v>481</v>
      </c>
      <c r="C554" s="5">
        <f>VALUE("2014")</f>
        <v>2014</v>
      </c>
      <c r="D554" s="2" t="s">
        <v>482</v>
      </c>
      <c r="E554" s="5">
        <f>VALUE("7055")</f>
        <v>7055</v>
      </c>
    </row>
    <row r="555" spans="1:5" x14ac:dyDescent="0.25">
      <c r="A555" s="2" t="s">
        <v>483</v>
      </c>
      <c r="B555" s="2" t="s">
        <v>484</v>
      </c>
      <c r="C555" s="5">
        <f>VALUE("2014")</f>
        <v>2014</v>
      </c>
      <c r="D555" s="2" t="s">
        <v>485</v>
      </c>
      <c r="E555" s="5">
        <f>VALUE("7055")</f>
        <v>7055</v>
      </c>
    </row>
    <row r="556" spans="1:5" x14ac:dyDescent="0.25">
      <c r="A556" s="2" t="s">
        <v>489</v>
      </c>
      <c r="B556" s="2" t="s">
        <v>490</v>
      </c>
      <c r="C556" s="5">
        <f>VALUE("2014")</f>
        <v>2014</v>
      </c>
      <c r="D556" s="2" t="s">
        <v>491</v>
      </c>
      <c r="E556" s="5">
        <f>VALUE("7055")</f>
        <v>7055</v>
      </c>
    </row>
    <row r="557" spans="1:5" x14ac:dyDescent="0.25">
      <c r="A557" s="2" t="s">
        <v>486</v>
      </c>
      <c r="B557" s="2" t="s">
        <v>487</v>
      </c>
      <c r="C557" s="5">
        <f>VALUE("2013")</f>
        <v>2013</v>
      </c>
      <c r="D557" s="2" t="s">
        <v>488</v>
      </c>
      <c r="E557" s="5">
        <f>VALUE("7055")</f>
        <v>7055</v>
      </c>
    </row>
    <row r="558" spans="1:5" x14ac:dyDescent="0.25">
      <c r="A558" s="2" t="s">
        <v>1887</v>
      </c>
      <c r="B558" s="2" t="s">
        <v>1888</v>
      </c>
      <c r="C558" s="5">
        <v>2010</v>
      </c>
      <c r="D558" s="2" t="s">
        <v>552</v>
      </c>
      <c r="E558" s="5">
        <v>7052</v>
      </c>
    </row>
    <row r="559" spans="1:5" x14ac:dyDescent="0.25">
      <c r="A559" s="2" t="s">
        <v>475</v>
      </c>
      <c r="B559" s="2" t="s">
        <v>476</v>
      </c>
      <c r="C559" s="5">
        <f>VALUE("2010")</f>
        <v>2010</v>
      </c>
      <c r="D559" s="2" t="s">
        <v>476</v>
      </c>
      <c r="E559" s="5">
        <f>VALUE("7051")</f>
        <v>7051</v>
      </c>
    </row>
    <row r="560" spans="1:5" x14ac:dyDescent="0.25">
      <c r="A560" s="2" t="s">
        <v>1886</v>
      </c>
      <c r="B560" s="2" t="s">
        <v>142</v>
      </c>
      <c r="C560" s="5">
        <v>2010</v>
      </c>
      <c r="E560" s="5">
        <v>7049</v>
      </c>
    </row>
    <row r="561" spans="1:5" x14ac:dyDescent="0.25">
      <c r="A561" s="2" t="s">
        <v>1883</v>
      </c>
      <c r="B561" s="2" t="s">
        <v>1884</v>
      </c>
      <c r="C561" s="5">
        <v>2011</v>
      </c>
      <c r="D561" s="2" t="s">
        <v>1879</v>
      </c>
      <c r="E561" s="5">
        <v>7048</v>
      </c>
    </row>
    <row r="562" spans="1:5" x14ac:dyDescent="0.25">
      <c r="A562" s="2" t="s">
        <v>1877</v>
      </c>
      <c r="B562" s="2" t="s">
        <v>1878</v>
      </c>
      <c r="C562" s="5">
        <v>2011</v>
      </c>
      <c r="D562" s="2" t="s">
        <v>1879</v>
      </c>
      <c r="E562" s="5">
        <v>7048</v>
      </c>
    </row>
    <row r="563" spans="1:5" x14ac:dyDescent="0.25">
      <c r="A563" s="2" t="s">
        <v>1885</v>
      </c>
      <c r="B563" s="2" t="s">
        <v>1879</v>
      </c>
      <c r="C563" s="5">
        <v>2011</v>
      </c>
      <c r="D563" s="2" t="s">
        <v>1879</v>
      </c>
      <c r="E563" s="5">
        <v>7048</v>
      </c>
    </row>
    <row r="564" spans="1:5" x14ac:dyDescent="0.25">
      <c r="A564" s="2" t="s">
        <v>1880</v>
      </c>
      <c r="B564" s="2" t="s">
        <v>1881</v>
      </c>
      <c r="C564" s="5">
        <v>2011</v>
      </c>
      <c r="D564" s="2" t="s">
        <v>1882</v>
      </c>
      <c r="E564" s="5">
        <v>7048</v>
      </c>
    </row>
    <row r="565" spans="1:5" x14ac:dyDescent="0.25">
      <c r="A565" s="2" t="s">
        <v>472</v>
      </c>
      <c r="B565" s="2" t="s">
        <v>473</v>
      </c>
      <c r="C565" s="5">
        <f>VALUE("2012")</f>
        <v>2012</v>
      </c>
      <c r="D565" s="2" t="s">
        <v>474</v>
      </c>
      <c r="E565" s="5">
        <f>VALUE("7047")</f>
        <v>7047</v>
      </c>
    </row>
    <row r="566" spans="1:5" x14ac:dyDescent="0.25">
      <c r="A566" s="2" t="s">
        <v>469</v>
      </c>
      <c r="B566" s="2" t="s">
        <v>470</v>
      </c>
      <c r="C566" s="5">
        <f>VALUE("2015")</f>
        <v>2015</v>
      </c>
      <c r="D566" s="2" t="s">
        <v>471</v>
      </c>
      <c r="E566" s="5">
        <f>VALUE("7046")</f>
        <v>7046</v>
      </c>
    </row>
    <row r="567" spans="1:5" x14ac:dyDescent="0.25">
      <c r="A567" s="2" t="s">
        <v>1875</v>
      </c>
      <c r="B567" s="2" t="s">
        <v>1876</v>
      </c>
      <c r="C567" s="5">
        <v>2010</v>
      </c>
      <c r="E567" s="5">
        <v>7044</v>
      </c>
    </row>
    <row r="568" spans="1:5" x14ac:dyDescent="0.25">
      <c r="A568" s="2" t="s">
        <v>1872</v>
      </c>
      <c r="B568" s="2" t="s">
        <v>1873</v>
      </c>
      <c r="C568" s="5">
        <v>2011</v>
      </c>
      <c r="D568" s="2" t="s">
        <v>1874</v>
      </c>
      <c r="E568" s="5">
        <v>7043</v>
      </c>
    </row>
    <row r="569" spans="1:5" x14ac:dyDescent="0.25">
      <c r="A569" s="2" t="s">
        <v>466</v>
      </c>
      <c r="B569" s="2" t="s">
        <v>467</v>
      </c>
      <c r="C569" s="5">
        <f>VALUE("2012")</f>
        <v>2012</v>
      </c>
      <c r="D569" s="2" t="s">
        <v>468</v>
      </c>
      <c r="E569" s="5">
        <f>VALUE("7040")</f>
        <v>7040</v>
      </c>
    </row>
    <row r="570" spans="1:5" x14ac:dyDescent="0.25">
      <c r="A570" s="2" t="s">
        <v>463</v>
      </c>
      <c r="B570" s="2" t="s">
        <v>464</v>
      </c>
      <c r="C570" s="5">
        <f>VALUE("2014")</f>
        <v>2014</v>
      </c>
      <c r="D570" s="2" t="s">
        <v>465</v>
      </c>
      <c r="E570" s="5">
        <f>VALUE("7039")</f>
        <v>7039</v>
      </c>
    </row>
    <row r="571" spans="1:5" x14ac:dyDescent="0.25">
      <c r="A571" s="2" t="s">
        <v>2038</v>
      </c>
      <c r="B571" s="2" t="s">
        <v>461</v>
      </c>
      <c r="C571" s="5">
        <f>VALUE("2013")</f>
        <v>2013</v>
      </c>
      <c r="D571" s="2" t="s">
        <v>462</v>
      </c>
      <c r="E571" s="5">
        <f>VALUE("7039")</f>
        <v>7039</v>
      </c>
    </row>
    <row r="572" spans="1:5" x14ac:dyDescent="0.25">
      <c r="A572" s="2" t="s">
        <v>2039</v>
      </c>
      <c r="B572" s="2" t="s">
        <v>459</v>
      </c>
      <c r="C572" s="5">
        <f>VALUE("2016")</f>
        <v>2016</v>
      </c>
      <c r="D572" s="2" t="s">
        <v>460</v>
      </c>
      <c r="E572" s="5">
        <f>VALUE("7036")</f>
        <v>7036</v>
      </c>
    </row>
    <row r="573" spans="1:5" x14ac:dyDescent="0.25">
      <c r="A573" s="2" t="s">
        <v>457</v>
      </c>
      <c r="B573" s="2" t="s">
        <v>453</v>
      </c>
      <c r="C573" s="5">
        <f>VALUE("2015")</f>
        <v>2015</v>
      </c>
      <c r="D573" s="2" t="s">
        <v>458</v>
      </c>
      <c r="E573" s="5">
        <f>VALUE("7036")</f>
        <v>7036</v>
      </c>
    </row>
    <row r="574" spans="1:5" x14ac:dyDescent="0.25">
      <c r="A574" s="2" t="s">
        <v>2040</v>
      </c>
      <c r="B574" s="2" t="s">
        <v>455</v>
      </c>
      <c r="C574" s="5">
        <f>VALUE("2013")</f>
        <v>2013</v>
      </c>
      <c r="D574" s="2" t="s">
        <v>456</v>
      </c>
      <c r="E574" s="5">
        <f>VALUE("7036")</f>
        <v>7036</v>
      </c>
    </row>
    <row r="575" spans="1:5" x14ac:dyDescent="0.25">
      <c r="A575" s="2" t="s">
        <v>452</v>
      </c>
      <c r="B575" s="2" t="s">
        <v>453</v>
      </c>
      <c r="C575" s="5">
        <f>VALUE("2012")</f>
        <v>2012</v>
      </c>
      <c r="D575" s="2" t="s">
        <v>454</v>
      </c>
      <c r="E575" s="5">
        <f>VALUE("7036")</f>
        <v>7036</v>
      </c>
    </row>
    <row r="576" spans="1:5" x14ac:dyDescent="0.25">
      <c r="A576" s="2" t="s">
        <v>449</v>
      </c>
      <c r="B576" s="2" t="s">
        <v>450</v>
      </c>
      <c r="C576" s="5">
        <f>VALUE("2015")</f>
        <v>2015</v>
      </c>
      <c r="D576" s="2" t="s">
        <v>451</v>
      </c>
      <c r="E576" s="5">
        <f>VALUE("7035")</f>
        <v>7035</v>
      </c>
    </row>
    <row r="577" spans="1:5" x14ac:dyDescent="0.25">
      <c r="A577" s="2" t="s">
        <v>446</v>
      </c>
      <c r="B577" s="2" t="s">
        <v>447</v>
      </c>
      <c r="C577" s="5">
        <f>VALUE("2015")</f>
        <v>2015</v>
      </c>
      <c r="D577" s="2" t="s">
        <v>448</v>
      </c>
      <c r="E577" s="5">
        <f>VALUE("7035")</f>
        <v>7035</v>
      </c>
    </row>
    <row r="578" spans="1:5" x14ac:dyDescent="0.25">
      <c r="A578" s="2" t="s">
        <v>1870</v>
      </c>
      <c r="B578" s="2" t="s">
        <v>1871</v>
      </c>
      <c r="C578" s="5">
        <v>2010</v>
      </c>
      <c r="E578" s="5">
        <v>7034</v>
      </c>
    </row>
    <row r="579" spans="1:5" x14ac:dyDescent="0.25">
      <c r="A579" s="2" t="s">
        <v>2041</v>
      </c>
      <c r="B579" s="2" t="s">
        <v>445</v>
      </c>
      <c r="C579" s="5">
        <f>VALUE("2014")</f>
        <v>2014</v>
      </c>
      <c r="D579" s="2" t="s">
        <v>445</v>
      </c>
      <c r="E579" s="5">
        <f>VALUE("7028")</f>
        <v>7028</v>
      </c>
    </row>
    <row r="580" spans="1:5" x14ac:dyDescent="0.25">
      <c r="A580" s="2" t="s">
        <v>438</v>
      </c>
      <c r="B580" s="2" t="s">
        <v>439</v>
      </c>
      <c r="C580" s="5">
        <f>VALUE("2013")</f>
        <v>2013</v>
      </c>
      <c r="D580" s="2" t="s">
        <v>440</v>
      </c>
      <c r="E580" s="5">
        <f>VALUE("7027")</f>
        <v>7027</v>
      </c>
    </row>
    <row r="581" spans="1:5" x14ac:dyDescent="0.25">
      <c r="A581" s="2" t="s">
        <v>2042</v>
      </c>
      <c r="B581" s="2" t="s">
        <v>441</v>
      </c>
      <c r="C581" s="5">
        <f>VALUE("2012")</f>
        <v>2012</v>
      </c>
      <c r="D581" s="2" t="s">
        <v>442</v>
      </c>
      <c r="E581" s="5">
        <f>VALUE("7027")</f>
        <v>7027</v>
      </c>
    </row>
    <row r="582" spans="1:5" x14ac:dyDescent="0.25">
      <c r="A582" s="2" t="s">
        <v>2019</v>
      </c>
      <c r="B582" s="2" t="s">
        <v>444</v>
      </c>
      <c r="C582" s="5">
        <f>VALUE("2012")</f>
        <v>2012</v>
      </c>
      <c r="D582" s="2" t="s">
        <v>307</v>
      </c>
      <c r="E582" s="5">
        <f>VALUE("7027")</f>
        <v>7027</v>
      </c>
    </row>
    <row r="583" spans="1:5" x14ac:dyDescent="0.25">
      <c r="A583" s="2" t="s">
        <v>303</v>
      </c>
      <c r="B583" s="2" t="s">
        <v>304</v>
      </c>
      <c r="C583" s="5">
        <f>VALUE("2011")</f>
        <v>2011</v>
      </c>
      <c r="D583" s="2" t="s">
        <v>443</v>
      </c>
      <c r="E583" s="5">
        <f>VALUE("7027")</f>
        <v>7027</v>
      </c>
    </row>
    <row r="584" spans="1:5" x14ac:dyDescent="0.25">
      <c r="A584" s="2" t="s">
        <v>426</v>
      </c>
      <c r="B584" s="2" t="s">
        <v>427</v>
      </c>
      <c r="C584" s="5">
        <f>VALUE("2014")</f>
        <v>2014</v>
      </c>
      <c r="D584" s="2" t="s">
        <v>148</v>
      </c>
      <c r="E584" s="5">
        <f>VALUE("7024")</f>
        <v>7024</v>
      </c>
    </row>
    <row r="585" spans="1:5" x14ac:dyDescent="0.25">
      <c r="A585" s="2" t="s">
        <v>431</v>
      </c>
      <c r="B585" s="2" t="s">
        <v>432</v>
      </c>
      <c r="C585" s="5">
        <f>VALUE("2014")</f>
        <v>2014</v>
      </c>
      <c r="D585" s="2" t="s">
        <v>433</v>
      </c>
      <c r="E585" s="5">
        <f>VALUE("7024")</f>
        <v>7024</v>
      </c>
    </row>
    <row r="586" spans="1:5" x14ac:dyDescent="0.25">
      <c r="A586" s="2" t="s">
        <v>428</v>
      </c>
      <c r="B586" s="2" t="s">
        <v>429</v>
      </c>
      <c r="C586" s="5">
        <f>VALUE("2013")</f>
        <v>2013</v>
      </c>
      <c r="D586" s="2" t="s">
        <v>430</v>
      </c>
      <c r="E586" s="5">
        <f>VALUE("7024")</f>
        <v>7024</v>
      </c>
    </row>
    <row r="587" spans="1:5" x14ac:dyDescent="0.25">
      <c r="A587" s="2" t="s">
        <v>2043</v>
      </c>
      <c r="B587" s="2" t="s">
        <v>434</v>
      </c>
      <c r="C587" s="5">
        <f>VALUE("2013")</f>
        <v>2013</v>
      </c>
      <c r="D587" s="2" t="s">
        <v>435</v>
      </c>
      <c r="E587" s="5">
        <f>VALUE("7024")</f>
        <v>7024</v>
      </c>
    </row>
    <row r="588" spans="1:5" x14ac:dyDescent="0.25">
      <c r="A588" s="2" t="s">
        <v>2044</v>
      </c>
      <c r="B588" s="2" t="s">
        <v>436</v>
      </c>
      <c r="C588" s="5">
        <f>VALUE("2012")</f>
        <v>2012</v>
      </c>
      <c r="D588" s="2" t="s">
        <v>437</v>
      </c>
      <c r="E588" s="5">
        <f>VALUE("7024")</f>
        <v>7024</v>
      </c>
    </row>
    <row r="589" spans="1:5" x14ac:dyDescent="0.25">
      <c r="A589" s="3" t="s">
        <v>2045</v>
      </c>
      <c r="B589" s="3" t="s">
        <v>2046</v>
      </c>
      <c r="C589" s="5">
        <f>VALUE("2017")</f>
        <v>2017</v>
      </c>
      <c r="D589" s="2" t="s">
        <v>420</v>
      </c>
      <c r="E589" s="5">
        <f>VALUE("7022")</f>
        <v>7022</v>
      </c>
    </row>
    <row r="590" spans="1:5" x14ac:dyDescent="0.25">
      <c r="A590" s="2" t="s">
        <v>421</v>
      </c>
      <c r="B590" s="7" t="s">
        <v>422</v>
      </c>
      <c r="C590" s="5">
        <f>VALUE("2016")</f>
        <v>2016</v>
      </c>
      <c r="D590" s="2" t="s">
        <v>423</v>
      </c>
      <c r="E590" s="5">
        <f>VALUE("7022")</f>
        <v>7022</v>
      </c>
    </row>
    <row r="591" spans="1:5" x14ac:dyDescent="0.25">
      <c r="A591" s="2" t="s">
        <v>417</v>
      </c>
      <c r="B591" s="2" t="s">
        <v>418</v>
      </c>
      <c r="C591" s="5">
        <f>VALUE("2015")</f>
        <v>2015</v>
      </c>
      <c r="D591" s="2" t="s">
        <v>419</v>
      </c>
      <c r="E591" s="5">
        <f>VALUE("7022")</f>
        <v>7022</v>
      </c>
    </row>
    <row r="592" spans="1:5" x14ac:dyDescent="0.25">
      <c r="A592" s="2" t="s">
        <v>414</v>
      </c>
      <c r="B592" s="2" t="s">
        <v>415</v>
      </c>
      <c r="C592" s="5">
        <f>VALUE("2015")</f>
        <v>2015</v>
      </c>
      <c r="D592" s="2" t="s">
        <v>416</v>
      </c>
      <c r="E592" s="5">
        <f>VALUE("7022")</f>
        <v>7022</v>
      </c>
    </row>
    <row r="593" spans="1:5" x14ac:dyDescent="0.25">
      <c r="A593" s="2" t="s">
        <v>2047</v>
      </c>
      <c r="B593" s="2" t="s">
        <v>424</v>
      </c>
      <c r="C593" s="5">
        <v>2012</v>
      </c>
      <c r="D593" s="2" t="s">
        <v>425</v>
      </c>
      <c r="E593" s="5">
        <f>VALUE("7022")</f>
        <v>7022</v>
      </c>
    </row>
    <row r="594" spans="1:5" x14ac:dyDescent="0.25">
      <c r="A594" s="2" t="s">
        <v>411</v>
      </c>
      <c r="B594" s="2" t="s">
        <v>412</v>
      </c>
      <c r="C594" s="5">
        <f>VALUE("2015")</f>
        <v>2015</v>
      </c>
      <c r="D594" s="2" t="s">
        <v>413</v>
      </c>
      <c r="E594" s="5">
        <f>VALUE("7020")</f>
        <v>7020</v>
      </c>
    </row>
    <row r="595" spans="1:5" x14ac:dyDescent="0.25">
      <c r="A595" s="2" t="s">
        <v>1868</v>
      </c>
      <c r="B595" s="2" t="s">
        <v>1869</v>
      </c>
      <c r="C595" s="5">
        <v>2010</v>
      </c>
      <c r="E595" s="5">
        <v>7019</v>
      </c>
    </row>
    <row r="596" spans="1:5" x14ac:dyDescent="0.25">
      <c r="A596" s="2" t="s">
        <v>405</v>
      </c>
      <c r="B596" s="2" t="s">
        <v>406</v>
      </c>
      <c r="C596" s="5">
        <f>VALUE("2013")</f>
        <v>2013</v>
      </c>
      <c r="D596" s="2" t="s">
        <v>106</v>
      </c>
      <c r="E596" s="5">
        <f>VALUE("7017")</f>
        <v>7017</v>
      </c>
    </row>
    <row r="597" spans="1:5" x14ac:dyDescent="0.25">
      <c r="A597" s="2" t="s">
        <v>2048</v>
      </c>
      <c r="B597" s="2" t="s">
        <v>409</v>
      </c>
      <c r="C597" s="5">
        <f>VALUE("2012")</f>
        <v>2012</v>
      </c>
      <c r="D597" s="2" t="s">
        <v>410</v>
      </c>
      <c r="E597" s="5">
        <f>VALUE("7017")</f>
        <v>7017</v>
      </c>
    </row>
    <row r="598" spans="1:5" x14ac:dyDescent="0.25">
      <c r="A598" s="3" t="s">
        <v>2049</v>
      </c>
      <c r="B598" s="2" t="s">
        <v>407</v>
      </c>
      <c r="C598" s="5">
        <f>VALUE("2011")</f>
        <v>2011</v>
      </c>
      <c r="D598" s="2" t="s">
        <v>408</v>
      </c>
      <c r="E598" s="5">
        <f>VALUE("7017")</f>
        <v>7017</v>
      </c>
    </row>
    <row r="599" spans="1:5" x14ac:dyDescent="0.25">
      <c r="A599" s="3" t="s">
        <v>2050</v>
      </c>
      <c r="B599" s="3" t="s">
        <v>2051</v>
      </c>
      <c r="C599" s="5">
        <f>VALUE("2013")</f>
        <v>2013</v>
      </c>
      <c r="D599" s="2" t="s">
        <v>73</v>
      </c>
      <c r="E599" s="5">
        <f>VALUE("7015")</f>
        <v>7015</v>
      </c>
    </row>
    <row r="600" spans="1:5" x14ac:dyDescent="0.25">
      <c r="A600" s="3" t="s">
        <v>2053</v>
      </c>
      <c r="B600" s="3" t="s">
        <v>2052</v>
      </c>
      <c r="C600" s="5">
        <f>VALUE("2013")</f>
        <v>2013</v>
      </c>
      <c r="D600" s="2" t="s">
        <v>73</v>
      </c>
      <c r="E600" s="5">
        <f>VALUE("7015")</f>
        <v>7015</v>
      </c>
    </row>
    <row r="601" spans="1:5" x14ac:dyDescent="0.25">
      <c r="A601" s="2" t="s">
        <v>2054</v>
      </c>
      <c r="B601" s="2" t="s">
        <v>404</v>
      </c>
      <c r="C601" s="5">
        <f>VALUE("2013")</f>
        <v>2013</v>
      </c>
      <c r="D601" s="2" t="s">
        <v>73</v>
      </c>
      <c r="E601" s="5">
        <f>VALUE("7015")</f>
        <v>7015</v>
      </c>
    </row>
    <row r="602" spans="1:5" x14ac:dyDescent="0.25">
      <c r="A602" s="2" t="s">
        <v>402</v>
      </c>
      <c r="B602" s="2" t="s">
        <v>403</v>
      </c>
      <c r="C602" s="5">
        <f>VALUE("2011")</f>
        <v>2011</v>
      </c>
      <c r="E602" s="5">
        <f>VALUE("7014")</f>
        <v>7014</v>
      </c>
    </row>
    <row r="603" spans="1:5" x14ac:dyDescent="0.25">
      <c r="A603" s="2" t="s">
        <v>399</v>
      </c>
      <c r="B603" s="2" t="s">
        <v>400</v>
      </c>
      <c r="C603" s="5">
        <f>VALUE("2017")</f>
        <v>2017</v>
      </c>
      <c r="D603" s="2" t="s">
        <v>401</v>
      </c>
      <c r="E603" s="5">
        <f>VALUE("7012")</f>
        <v>7012</v>
      </c>
    </row>
    <row r="604" spans="1:5" x14ac:dyDescent="0.25">
      <c r="A604" s="2" t="s">
        <v>393</v>
      </c>
      <c r="B604" s="2" t="s">
        <v>394</v>
      </c>
      <c r="C604" s="5">
        <f>VALUE("2014")</f>
        <v>2014</v>
      </c>
      <c r="D604" s="2" t="s">
        <v>395</v>
      </c>
      <c r="E604" s="5">
        <f>VALUE("7012")</f>
        <v>7012</v>
      </c>
    </row>
    <row r="605" spans="1:5" x14ac:dyDescent="0.25">
      <c r="A605" s="2" t="s">
        <v>396</v>
      </c>
      <c r="B605" s="2" t="s">
        <v>397</v>
      </c>
      <c r="C605" s="5">
        <f>VALUE("2014")</f>
        <v>2014</v>
      </c>
      <c r="D605" s="2" t="s">
        <v>398</v>
      </c>
      <c r="E605" s="5">
        <f>VALUE("7012")</f>
        <v>7012</v>
      </c>
    </row>
    <row r="606" spans="1:5" x14ac:dyDescent="0.25">
      <c r="A606" s="2" t="s">
        <v>1866</v>
      </c>
      <c r="B606" s="2" t="s">
        <v>1867</v>
      </c>
      <c r="C606" s="5">
        <v>2011</v>
      </c>
      <c r="E606" s="5">
        <v>7004</v>
      </c>
    </row>
    <row r="607" spans="1:5" x14ac:dyDescent="0.25">
      <c r="A607" s="2" t="s">
        <v>1864</v>
      </c>
      <c r="B607" s="2" t="s">
        <v>1865</v>
      </c>
      <c r="C607" s="5">
        <v>2009</v>
      </c>
      <c r="E607" s="5">
        <v>6200</v>
      </c>
    </row>
    <row r="608" spans="1:5" x14ac:dyDescent="0.25">
      <c r="A608" s="2" t="s">
        <v>379</v>
      </c>
      <c r="B608" s="2" t="s">
        <v>380</v>
      </c>
      <c r="C608" s="5">
        <f>VALUE("2014")</f>
        <v>2014</v>
      </c>
      <c r="D608" s="2" t="s">
        <v>381</v>
      </c>
      <c r="E608" s="5">
        <f>VALUE("6191")</f>
        <v>6191</v>
      </c>
    </row>
    <row r="609" spans="1:5" x14ac:dyDescent="0.25">
      <c r="A609" s="2" t="s">
        <v>382</v>
      </c>
      <c r="B609" s="2" t="s">
        <v>383</v>
      </c>
      <c r="C609" s="5">
        <f>VALUE("2014")</f>
        <v>2014</v>
      </c>
      <c r="D609" s="2" t="s">
        <v>384</v>
      </c>
      <c r="E609" s="5">
        <f>VALUE("6191")</f>
        <v>6191</v>
      </c>
    </row>
    <row r="610" spans="1:5" x14ac:dyDescent="0.25">
      <c r="A610" s="2" t="s">
        <v>385</v>
      </c>
      <c r="B610" s="2" t="s">
        <v>386</v>
      </c>
      <c r="C610" s="5">
        <f>VALUE("2014")</f>
        <v>2014</v>
      </c>
      <c r="D610" s="2" t="s">
        <v>387</v>
      </c>
      <c r="E610" s="5">
        <f>VALUE("6191")</f>
        <v>6191</v>
      </c>
    </row>
    <row r="611" spans="1:5" x14ac:dyDescent="0.25">
      <c r="A611" s="2" t="s">
        <v>388</v>
      </c>
      <c r="B611" s="2" t="s">
        <v>389</v>
      </c>
      <c r="C611" s="5">
        <f>VALUE("2014")</f>
        <v>2014</v>
      </c>
      <c r="D611" s="2" t="s">
        <v>390</v>
      </c>
      <c r="E611" s="5">
        <f>VALUE("6191")</f>
        <v>6191</v>
      </c>
    </row>
    <row r="612" spans="1:5" x14ac:dyDescent="0.25">
      <c r="A612" s="2" t="s">
        <v>391</v>
      </c>
      <c r="B612" s="2" t="s">
        <v>380</v>
      </c>
      <c r="C612" s="5">
        <f>VALUE("2014")</f>
        <v>2014</v>
      </c>
      <c r="D612" s="2" t="s">
        <v>392</v>
      </c>
      <c r="E612" s="5">
        <f>VALUE("6191")</f>
        <v>6191</v>
      </c>
    </row>
    <row r="613" spans="1:5" x14ac:dyDescent="0.25">
      <c r="A613" s="2" t="s">
        <v>1861</v>
      </c>
      <c r="B613" s="2" t="s">
        <v>1862</v>
      </c>
      <c r="C613" s="5">
        <v>2010</v>
      </c>
      <c r="E613" s="5">
        <v>6187</v>
      </c>
    </row>
    <row r="614" spans="1:5" x14ac:dyDescent="0.25">
      <c r="A614" s="2" t="s">
        <v>1863</v>
      </c>
      <c r="B614" s="2" t="s">
        <v>1862</v>
      </c>
      <c r="C614" s="5">
        <v>2010</v>
      </c>
      <c r="E614" s="5">
        <v>6187</v>
      </c>
    </row>
    <row r="615" spans="1:5" x14ac:dyDescent="0.25">
      <c r="A615" s="2" t="s">
        <v>372</v>
      </c>
      <c r="B615" s="2" t="s">
        <v>373</v>
      </c>
      <c r="C615" s="5">
        <f>VALUE("2013")</f>
        <v>2013</v>
      </c>
      <c r="D615" s="2" t="s">
        <v>374</v>
      </c>
      <c r="E615" s="5">
        <f>VALUE("6184")</f>
        <v>6184</v>
      </c>
    </row>
    <row r="616" spans="1:5" x14ac:dyDescent="0.25">
      <c r="A616" s="2" t="s">
        <v>370</v>
      </c>
      <c r="B616" s="3" t="s">
        <v>2055</v>
      </c>
      <c r="C616" s="5">
        <f>VALUE("2012")</f>
        <v>2012</v>
      </c>
      <c r="D616" s="2" t="s">
        <v>371</v>
      </c>
      <c r="E616" s="5">
        <f>VALUE("6184")</f>
        <v>6184</v>
      </c>
    </row>
    <row r="617" spans="1:5" x14ac:dyDescent="0.25">
      <c r="A617" s="2" t="s">
        <v>375</v>
      </c>
      <c r="B617" s="7" t="s">
        <v>376</v>
      </c>
      <c r="C617" s="5">
        <f>VALUE("2012")</f>
        <v>2012</v>
      </c>
      <c r="D617" s="2" t="s">
        <v>377</v>
      </c>
      <c r="E617" s="5">
        <f>VALUE("6184")</f>
        <v>6184</v>
      </c>
    </row>
    <row r="618" spans="1:5" x14ac:dyDescent="0.25">
      <c r="A618" s="3" t="s">
        <v>2090</v>
      </c>
      <c r="B618" s="2" t="s">
        <v>373</v>
      </c>
      <c r="C618" s="5">
        <f>VALUE("2012")</f>
        <v>2012</v>
      </c>
      <c r="D618" s="2" t="s">
        <v>378</v>
      </c>
      <c r="E618" s="5">
        <f>VALUE("6184")</f>
        <v>6184</v>
      </c>
    </row>
    <row r="619" spans="1:5" x14ac:dyDescent="0.25">
      <c r="A619" s="2" t="s">
        <v>368</v>
      </c>
      <c r="B619" s="2" t="s">
        <v>369</v>
      </c>
      <c r="C619" s="5">
        <f>VALUE("2012")</f>
        <v>2012</v>
      </c>
      <c r="D619" s="2" t="s">
        <v>369</v>
      </c>
      <c r="E619" s="5">
        <f>VALUE("6179")</f>
        <v>6179</v>
      </c>
    </row>
    <row r="620" spans="1:5" x14ac:dyDescent="0.25">
      <c r="A620" s="2" t="s">
        <v>1856</v>
      </c>
      <c r="B620" s="2" t="s">
        <v>1857</v>
      </c>
      <c r="C620" s="5">
        <v>2013</v>
      </c>
      <c r="D620" s="2" t="s">
        <v>534</v>
      </c>
      <c r="E620" s="5">
        <v>6175</v>
      </c>
    </row>
    <row r="621" spans="1:5" x14ac:dyDescent="0.25">
      <c r="A621" s="2" t="s">
        <v>1858</v>
      </c>
      <c r="B621" s="2" t="s">
        <v>1859</v>
      </c>
      <c r="C621" s="5">
        <v>2011</v>
      </c>
      <c r="D621" s="2" t="s">
        <v>1860</v>
      </c>
      <c r="E621" s="5">
        <v>6175</v>
      </c>
    </row>
    <row r="622" spans="1:5" x14ac:dyDescent="0.25">
      <c r="A622" s="2" t="s">
        <v>1854</v>
      </c>
      <c r="B622" s="2" t="s">
        <v>1855</v>
      </c>
      <c r="C622" s="5">
        <v>2010</v>
      </c>
      <c r="D622" s="2" t="s">
        <v>476</v>
      </c>
      <c r="E622" s="5">
        <v>6175</v>
      </c>
    </row>
    <row r="623" spans="1:5" x14ac:dyDescent="0.25">
      <c r="A623" s="2" t="s">
        <v>2056</v>
      </c>
      <c r="B623" s="2" t="s">
        <v>1853</v>
      </c>
      <c r="C623" s="5">
        <v>2010</v>
      </c>
      <c r="D623" s="2" t="s">
        <v>1082</v>
      </c>
      <c r="E623" s="5">
        <v>6171</v>
      </c>
    </row>
    <row r="624" spans="1:5" x14ac:dyDescent="0.25">
      <c r="A624" s="2" t="s">
        <v>365</v>
      </c>
      <c r="B624" s="2" t="s">
        <v>366</v>
      </c>
      <c r="C624" s="5">
        <f>VALUE("2012")</f>
        <v>2012</v>
      </c>
      <c r="D624" s="2" t="s">
        <v>367</v>
      </c>
      <c r="E624" s="5">
        <f>VALUE("6168")</f>
        <v>6168</v>
      </c>
    </row>
    <row r="625" spans="1:5" x14ac:dyDescent="0.25">
      <c r="A625" s="2" t="s">
        <v>362</v>
      </c>
      <c r="B625" s="2" t="s">
        <v>363</v>
      </c>
      <c r="C625" s="5">
        <f>VALUE("2011")</f>
        <v>2011</v>
      </c>
      <c r="D625" s="2" t="s">
        <v>364</v>
      </c>
      <c r="E625" s="5">
        <f>VALUE("6166")</f>
        <v>6166</v>
      </c>
    </row>
    <row r="626" spans="1:5" x14ac:dyDescent="0.25">
      <c r="A626" s="2" t="s">
        <v>1851</v>
      </c>
      <c r="B626" s="2" t="s">
        <v>1852</v>
      </c>
      <c r="C626" s="5">
        <v>2009</v>
      </c>
      <c r="E626" s="5">
        <v>6163</v>
      </c>
    </row>
    <row r="627" spans="1:5" x14ac:dyDescent="0.25">
      <c r="A627" s="2" t="s">
        <v>1847</v>
      </c>
      <c r="B627" s="2" t="s">
        <v>1848</v>
      </c>
      <c r="C627" s="5">
        <v>2011</v>
      </c>
      <c r="D627" s="2" t="s">
        <v>106</v>
      </c>
      <c r="E627" s="5">
        <v>6161</v>
      </c>
    </row>
    <row r="628" spans="1:5" x14ac:dyDescent="0.25">
      <c r="A628" s="2" t="s">
        <v>1849</v>
      </c>
      <c r="B628" s="2" t="s">
        <v>1848</v>
      </c>
      <c r="C628" s="5">
        <v>2011</v>
      </c>
      <c r="D628" s="2" t="s">
        <v>1850</v>
      </c>
      <c r="E628" s="5">
        <v>6161</v>
      </c>
    </row>
    <row r="629" spans="1:5" x14ac:dyDescent="0.25">
      <c r="A629" s="2" t="s">
        <v>2057</v>
      </c>
      <c r="B629" s="2" t="s">
        <v>360</v>
      </c>
      <c r="C629" s="5">
        <f>VALUE("2013")</f>
        <v>2013</v>
      </c>
      <c r="D629" s="2" t="s">
        <v>361</v>
      </c>
      <c r="E629" s="5">
        <f>VALUE("6157")</f>
        <v>6157</v>
      </c>
    </row>
    <row r="630" spans="1:5" x14ac:dyDescent="0.25">
      <c r="A630" s="3" t="s">
        <v>2058</v>
      </c>
      <c r="B630" s="2" t="s">
        <v>356</v>
      </c>
      <c r="C630" s="5">
        <f>VALUE("2013")</f>
        <v>2013</v>
      </c>
      <c r="D630" s="2" t="s">
        <v>357</v>
      </c>
      <c r="E630" s="5">
        <f>VALUE("6152")</f>
        <v>6152</v>
      </c>
    </row>
    <row r="631" spans="1:5" x14ac:dyDescent="0.25">
      <c r="A631" s="3" t="s">
        <v>2059</v>
      </c>
      <c r="B631" s="2" t="s">
        <v>358</v>
      </c>
      <c r="C631" s="5">
        <f>VALUE("2011")</f>
        <v>2011</v>
      </c>
      <c r="D631" s="2" t="s">
        <v>359</v>
      </c>
      <c r="E631" s="5">
        <f>VALUE("6152")</f>
        <v>6152</v>
      </c>
    </row>
    <row r="632" spans="1:5" x14ac:dyDescent="0.25">
      <c r="A632" s="2" t="s">
        <v>1845</v>
      </c>
      <c r="B632" s="2" t="s">
        <v>1846</v>
      </c>
      <c r="C632" s="5">
        <v>2009</v>
      </c>
      <c r="E632" s="5">
        <v>6149</v>
      </c>
    </row>
    <row r="633" spans="1:5" x14ac:dyDescent="0.25">
      <c r="A633" s="2" t="s">
        <v>1843</v>
      </c>
      <c r="B633" s="2" t="s">
        <v>1844</v>
      </c>
      <c r="C633" s="5">
        <v>2009</v>
      </c>
      <c r="D633" s="2" t="s">
        <v>552</v>
      </c>
      <c r="E633" s="5">
        <v>6146</v>
      </c>
    </row>
    <row r="634" spans="1:5" x14ac:dyDescent="0.25">
      <c r="A634" s="2" t="s">
        <v>354</v>
      </c>
      <c r="B634" s="3" t="s">
        <v>2060</v>
      </c>
      <c r="C634" s="5">
        <f>VALUE("2014")</f>
        <v>2014</v>
      </c>
      <c r="D634" s="2" t="s">
        <v>355</v>
      </c>
      <c r="E634" s="5">
        <f>VALUE("6145")</f>
        <v>6145</v>
      </c>
    </row>
    <row r="635" spans="1:5" x14ac:dyDescent="0.25">
      <c r="A635" s="2" t="s">
        <v>1841</v>
      </c>
      <c r="B635" s="7" t="s">
        <v>1842</v>
      </c>
      <c r="C635" s="5">
        <v>2009</v>
      </c>
      <c r="E635" s="5">
        <v>6143</v>
      </c>
    </row>
    <row r="636" spans="1:5" x14ac:dyDescent="0.25">
      <c r="A636" s="2" t="s">
        <v>1838</v>
      </c>
      <c r="B636" s="2" t="s">
        <v>1839</v>
      </c>
      <c r="C636" s="5">
        <v>2010</v>
      </c>
      <c r="E636" s="5">
        <v>6141</v>
      </c>
    </row>
    <row r="637" spans="1:5" x14ac:dyDescent="0.25">
      <c r="A637" s="2" t="s">
        <v>1840</v>
      </c>
      <c r="B637" s="2" t="s">
        <v>1839</v>
      </c>
      <c r="C637" s="5">
        <v>2010</v>
      </c>
      <c r="E637" s="5">
        <v>6141</v>
      </c>
    </row>
    <row r="638" spans="1:5" x14ac:dyDescent="0.25">
      <c r="A638" s="2" t="s">
        <v>1836</v>
      </c>
      <c r="B638" s="2" t="s">
        <v>1837</v>
      </c>
      <c r="C638" s="5">
        <v>2009</v>
      </c>
      <c r="D638" s="2" t="s">
        <v>552</v>
      </c>
      <c r="E638" s="5">
        <v>6140</v>
      </c>
    </row>
    <row r="639" spans="1:5" x14ac:dyDescent="0.25">
      <c r="A639" s="3" t="s">
        <v>2061</v>
      </c>
      <c r="B639" s="2" t="s">
        <v>1835</v>
      </c>
      <c r="C639" s="5">
        <v>2011</v>
      </c>
      <c r="D639" s="2" t="s">
        <v>591</v>
      </c>
      <c r="E639" s="5">
        <v>6139</v>
      </c>
    </row>
    <row r="640" spans="1:5" x14ac:dyDescent="0.25">
      <c r="A640" s="2" t="s">
        <v>1833</v>
      </c>
      <c r="B640" s="2" t="s">
        <v>1834</v>
      </c>
      <c r="C640" s="5">
        <v>2010</v>
      </c>
      <c r="D640" s="2" t="s">
        <v>591</v>
      </c>
      <c r="E640" s="5">
        <v>6139</v>
      </c>
    </row>
    <row r="641" spans="1:5" x14ac:dyDescent="0.25">
      <c r="A641" s="2" t="s">
        <v>351</v>
      </c>
      <c r="B641" s="2" t="s">
        <v>352</v>
      </c>
      <c r="C641" s="5">
        <f>VALUE("2012")</f>
        <v>2012</v>
      </c>
      <c r="D641" s="2" t="s">
        <v>353</v>
      </c>
      <c r="E641" s="5">
        <f>VALUE("6136")</f>
        <v>6136</v>
      </c>
    </row>
    <row r="642" spans="1:5" x14ac:dyDescent="0.25">
      <c r="A642" s="2" t="s">
        <v>345</v>
      </c>
      <c r="B642" s="2" t="s">
        <v>346</v>
      </c>
      <c r="C642" s="5">
        <f>VALUE("2013")</f>
        <v>2013</v>
      </c>
      <c r="D642" s="2" t="s">
        <v>347</v>
      </c>
      <c r="E642" s="5">
        <f>VALUE("6132")</f>
        <v>6132</v>
      </c>
    </row>
    <row r="643" spans="1:5" x14ac:dyDescent="0.25">
      <c r="A643" s="2" t="s">
        <v>348</v>
      </c>
      <c r="B643" s="2" t="s">
        <v>349</v>
      </c>
      <c r="C643" s="5">
        <f>VALUE("2013")</f>
        <v>2013</v>
      </c>
      <c r="D643" s="2" t="s">
        <v>350</v>
      </c>
      <c r="E643" s="5">
        <f>VALUE("6132")</f>
        <v>6132</v>
      </c>
    </row>
    <row r="644" spans="1:5" x14ac:dyDescent="0.25">
      <c r="A644" s="2" t="s">
        <v>342</v>
      </c>
      <c r="B644" s="2" t="s">
        <v>343</v>
      </c>
      <c r="C644" s="5">
        <f>VALUE("2016")</f>
        <v>2016</v>
      </c>
      <c r="D644" s="2" t="s">
        <v>344</v>
      </c>
      <c r="E644" s="5">
        <f>VALUE("6130")</f>
        <v>6130</v>
      </c>
    </row>
    <row r="645" spans="1:5" x14ac:dyDescent="0.25">
      <c r="A645" s="2" t="s">
        <v>339</v>
      </c>
      <c r="B645" s="2" t="s">
        <v>340</v>
      </c>
      <c r="C645" s="5">
        <f>VALUE("2015")</f>
        <v>2015</v>
      </c>
      <c r="D645" s="2" t="s">
        <v>341</v>
      </c>
      <c r="E645" s="5">
        <f>VALUE("6130")</f>
        <v>6130</v>
      </c>
    </row>
    <row r="646" spans="1:5" x14ac:dyDescent="0.25">
      <c r="A646" s="2" t="s">
        <v>333</v>
      </c>
      <c r="B646" s="2" t="s">
        <v>334</v>
      </c>
      <c r="C646" s="5">
        <f>VALUE("2015")</f>
        <v>2015</v>
      </c>
      <c r="D646" s="2" t="s">
        <v>335</v>
      </c>
      <c r="E646" s="5">
        <f>VALUE("6130")</f>
        <v>6130</v>
      </c>
    </row>
    <row r="647" spans="1:5" x14ac:dyDescent="0.25">
      <c r="A647" s="2" t="s">
        <v>336</v>
      </c>
      <c r="B647" s="2" t="s">
        <v>337</v>
      </c>
      <c r="C647" s="5">
        <f>VALUE("2015")</f>
        <v>2015</v>
      </c>
      <c r="D647" s="2" t="s">
        <v>338</v>
      </c>
      <c r="E647" s="5">
        <f>VALUE("6130")</f>
        <v>6130</v>
      </c>
    </row>
    <row r="648" spans="1:5" x14ac:dyDescent="0.25">
      <c r="A648" s="2" t="s">
        <v>330</v>
      </c>
      <c r="B648" s="2" t="s">
        <v>331</v>
      </c>
      <c r="C648" s="5">
        <f>VALUE("2014")</f>
        <v>2014</v>
      </c>
      <c r="D648" s="2" t="s">
        <v>332</v>
      </c>
      <c r="E648" s="5">
        <f>VALUE("6130")</f>
        <v>6130</v>
      </c>
    </row>
    <row r="649" spans="1:5" x14ac:dyDescent="0.25">
      <c r="A649" s="2" t="s">
        <v>318</v>
      </c>
      <c r="B649" s="2" t="s">
        <v>319</v>
      </c>
      <c r="C649" s="5">
        <f>VALUE("2013")</f>
        <v>2013</v>
      </c>
      <c r="D649" s="2" t="s">
        <v>320</v>
      </c>
      <c r="E649" s="5">
        <f>VALUE("6130")</f>
        <v>6130</v>
      </c>
    </row>
    <row r="650" spans="1:5" x14ac:dyDescent="0.25">
      <c r="A650" s="2" t="s">
        <v>321</v>
      </c>
      <c r="B650" s="2" t="s">
        <v>322</v>
      </c>
      <c r="C650" s="5">
        <f>VALUE("2013")</f>
        <v>2013</v>
      </c>
      <c r="D650" s="2" t="s">
        <v>323</v>
      </c>
      <c r="E650" s="5">
        <f>VALUE("6130")</f>
        <v>6130</v>
      </c>
    </row>
    <row r="651" spans="1:5" x14ac:dyDescent="0.25">
      <c r="A651" s="2" t="s">
        <v>324</v>
      </c>
      <c r="B651" s="2" t="s">
        <v>325</v>
      </c>
      <c r="C651" s="5">
        <f>VALUE("2013")</f>
        <v>2013</v>
      </c>
      <c r="D651" s="2" t="s">
        <v>326</v>
      </c>
      <c r="E651" s="5">
        <f>VALUE("6130")</f>
        <v>6130</v>
      </c>
    </row>
    <row r="652" spans="1:5" x14ac:dyDescent="0.25">
      <c r="A652" s="2" t="s">
        <v>327</v>
      </c>
      <c r="B652" s="2" t="s">
        <v>328</v>
      </c>
      <c r="C652" s="5">
        <f>VALUE("2013")</f>
        <v>2013</v>
      </c>
      <c r="D652" s="2" t="s">
        <v>329</v>
      </c>
      <c r="E652" s="5">
        <f>VALUE("6130")</f>
        <v>6130</v>
      </c>
    </row>
    <row r="653" spans="1:5" x14ac:dyDescent="0.25">
      <c r="A653" s="2" t="s">
        <v>313</v>
      </c>
      <c r="B653" s="2" t="s">
        <v>314</v>
      </c>
      <c r="C653" s="5">
        <f>VALUE("2013")</f>
        <v>2013</v>
      </c>
      <c r="D653" s="2" t="s">
        <v>315</v>
      </c>
      <c r="E653" s="5">
        <f>VALUE("6129")</f>
        <v>6129</v>
      </c>
    </row>
    <row r="654" spans="1:5" x14ac:dyDescent="0.25">
      <c r="A654" s="2" t="s">
        <v>316</v>
      </c>
      <c r="B654" s="2" t="s">
        <v>317</v>
      </c>
      <c r="C654" s="5">
        <f>VALUE("2013")</f>
        <v>2013</v>
      </c>
      <c r="D654" s="2" t="s">
        <v>310</v>
      </c>
      <c r="E654" s="5">
        <f>VALUE("6129")</f>
        <v>6129</v>
      </c>
    </row>
    <row r="655" spans="1:5" x14ac:dyDescent="0.25">
      <c r="A655" s="2" t="s">
        <v>308</v>
      </c>
      <c r="B655" s="2" t="s">
        <v>309</v>
      </c>
      <c r="C655" s="5">
        <f>VALUE("2010")</f>
        <v>2010</v>
      </c>
      <c r="D655" s="2" t="s">
        <v>310</v>
      </c>
      <c r="E655" s="5">
        <f>VALUE("6129")</f>
        <v>6129</v>
      </c>
    </row>
    <row r="656" spans="1:5" x14ac:dyDescent="0.25">
      <c r="A656" s="2" t="s">
        <v>311</v>
      </c>
      <c r="B656" s="2" t="s">
        <v>312</v>
      </c>
      <c r="D656" s="2" t="s">
        <v>312</v>
      </c>
      <c r="E656" s="5">
        <f>VALUE("6129")</f>
        <v>6129</v>
      </c>
    </row>
    <row r="657" spans="1:5" x14ac:dyDescent="0.25">
      <c r="A657" s="2" t="s">
        <v>1831</v>
      </c>
      <c r="B657" s="2" t="s">
        <v>1832</v>
      </c>
      <c r="C657" s="5">
        <v>2008</v>
      </c>
      <c r="E657" s="5">
        <v>6128</v>
      </c>
    </row>
    <row r="658" spans="1:5" x14ac:dyDescent="0.25">
      <c r="A658" s="2" t="s">
        <v>300</v>
      </c>
      <c r="B658" s="2" t="s">
        <v>301</v>
      </c>
      <c r="C658" s="5">
        <f>VALUE("2013")</f>
        <v>2013</v>
      </c>
      <c r="D658" s="2" t="s">
        <v>302</v>
      </c>
      <c r="E658" s="5">
        <f>VALUE("6126")</f>
        <v>6126</v>
      </c>
    </row>
    <row r="659" spans="1:5" x14ac:dyDescent="0.25">
      <c r="A659" s="2" t="s">
        <v>2019</v>
      </c>
      <c r="B659" s="2" t="s">
        <v>306</v>
      </c>
      <c r="C659" s="5">
        <f>VALUE("2012")</f>
        <v>2012</v>
      </c>
      <c r="D659" s="2" t="s">
        <v>307</v>
      </c>
      <c r="E659" s="5">
        <f>VALUE("6126")</f>
        <v>6126</v>
      </c>
    </row>
    <row r="660" spans="1:5" x14ac:dyDescent="0.25">
      <c r="A660" s="2" t="s">
        <v>303</v>
      </c>
      <c r="B660" s="2" t="s">
        <v>304</v>
      </c>
      <c r="C660" s="5">
        <f>VALUE("2011")</f>
        <v>2011</v>
      </c>
      <c r="D660" s="2" t="s">
        <v>305</v>
      </c>
      <c r="E660" s="5">
        <f>VALUE("6126")</f>
        <v>6126</v>
      </c>
    </row>
    <row r="661" spans="1:5" x14ac:dyDescent="0.25">
      <c r="A661" s="2" t="s">
        <v>295</v>
      </c>
      <c r="B661" s="2" t="s">
        <v>296</v>
      </c>
      <c r="C661" s="5">
        <f>VALUE("2014")</f>
        <v>2014</v>
      </c>
      <c r="D661" s="2" t="s">
        <v>297</v>
      </c>
      <c r="E661" s="5">
        <f>VALUE("6123")</f>
        <v>6123</v>
      </c>
    </row>
    <row r="662" spans="1:5" x14ac:dyDescent="0.25">
      <c r="A662" s="2" t="s">
        <v>2062</v>
      </c>
      <c r="B662" s="2" t="s">
        <v>293</v>
      </c>
      <c r="C662" s="5">
        <f>VALUE("2012")</f>
        <v>2012</v>
      </c>
      <c r="D662" s="2" t="s">
        <v>294</v>
      </c>
      <c r="E662" s="5">
        <f>VALUE("6123")</f>
        <v>6123</v>
      </c>
    </row>
    <row r="663" spans="1:5" x14ac:dyDescent="0.25">
      <c r="A663" s="2" t="s">
        <v>2063</v>
      </c>
      <c r="B663" s="2" t="s">
        <v>298</v>
      </c>
      <c r="C663" s="5">
        <f>VALUE("2011")</f>
        <v>2011</v>
      </c>
      <c r="D663" s="2" t="s">
        <v>299</v>
      </c>
      <c r="E663" s="5">
        <f>VALUE("6123")</f>
        <v>6123</v>
      </c>
    </row>
    <row r="664" spans="1:5" x14ac:dyDescent="0.25">
      <c r="A664" s="2" t="s">
        <v>272</v>
      </c>
      <c r="B664" s="2" t="s">
        <v>273</v>
      </c>
      <c r="C664" s="5">
        <f>VALUE("2015")</f>
        <v>2015</v>
      </c>
      <c r="D664" s="2" t="s">
        <v>274</v>
      </c>
      <c r="E664" s="5">
        <f>VALUE("6122")</f>
        <v>6122</v>
      </c>
    </row>
    <row r="665" spans="1:5" x14ac:dyDescent="0.25">
      <c r="A665" s="2" t="s">
        <v>278</v>
      </c>
      <c r="B665" s="2" t="s">
        <v>279</v>
      </c>
      <c r="C665" s="5">
        <f>VALUE("2015")</f>
        <v>2015</v>
      </c>
      <c r="D665" s="2" t="s">
        <v>280</v>
      </c>
      <c r="E665" s="5">
        <f>VALUE("6122")</f>
        <v>6122</v>
      </c>
    </row>
    <row r="666" spans="1:5" x14ac:dyDescent="0.25">
      <c r="A666" s="2" t="s">
        <v>284</v>
      </c>
      <c r="B666" s="2" t="s">
        <v>285</v>
      </c>
      <c r="C666" s="5">
        <f>VALUE("2013")</f>
        <v>2013</v>
      </c>
      <c r="D666" s="2" t="s">
        <v>286</v>
      </c>
      <c r="E666" s="5">
        <f>VALUE("6122")</f>
        <v>6122</v>
      </c>
    </row>
    <row r="667" spans="1:5" x14ac:dyDescent="0.25">
      <c r="A667" s="2" t="s">
        <v>287</v>
      </c>
      <c r="B667" s="2" t="s">
        <v>288</v>
      </c>
      <c r="C667" s="5">
        <f>VALUE("2013")</f>
        <v>2013</v>
      </c>
      <c r="D667" s="2" t="s">
        <v>289</v>
      </c>
      <c r="E667" s="5">
        <f>VALUE("6122")</f>
        <v>6122</v>
      </c>
    </row>
    <row r="668" spans="1:5" x14ac:dyDescent="0.25">
      <c r="A668" s="2" t="s">
        <v>281</v>
      </c>
      <c r="B668" s="2" t="s">
        <v>282</v>
      </c>
      <c r="C668" s="5">
        <f>VALUE("2012")</f>
        <v>2012</v>
      </c>
      <c r="D668" s="2" t="s">
        <v>283</v>
      </c>
      <c r="E668" s="5">
        <f>VALUE("6122")</f>
        <v>6122</v>
      </c>
    </row>
    <row r="669" spans="1:5" x14ac:dyDescent="0.25">
      <c r="A669" s="2" t="s">
        <v>290</v>
      </c>
      <c r="B669" s="2" t="s">
        <v>291</v>
      </c>
      <c r="C669" s="5">
        <f>VALUE("2012")</f>
        <v>2012</v>
      </c>
      <c r="D669" s="2" t="s">
        <v>292</v>
      </c>
      <c r="E669" s="5">
        <f>VALUE("6122")</f>
        <v>6122</v>
      </c>
    </row>
    <row r="670" spans="1:5" x14ac:dyDescent="0.25">
      <c r="A670" s="2" t="s">
        <v>275</v>
      </c>
      <c r="B670" s="2" t="s">
        <v>276</v>
      </c>
      <c r="C670" s="5">
        <f>VALUE("2011")</f>
        <v>2011</v>
      </c>
      <c r="D670" s="2" t="s">
        <v>277</v>
      </c>
      <c r="E670" s="5">
        <f>VALUE("6122")</f>
        <v>6122</v>
      </c>
    </row>
    <row r="671" spans="1:5" x14ac:dyDescent="0.25">
      <c r="A671" s="2" t="s">
        <v>2064</v>
      </c>
      <c r="B671" s="2" t="s">
        <v>270</v>
      </c>
      <c r="C671" s="5">
        <f>VALUE("2013")</f>
        <v>2013</v>
      </c>
      <c r="D671" s="2" t="s">
        <v>271</v>
      </c>
      <c r="E671" s="5">
        <f>VALUE("6115")</f>
        <v>6115</v>
      </c>
    </row>
    <row r="672" spans="1:5" x14ac:dyDescent="0.25">
      <c r="A672" s="2" t="s">
        <v>264</v>
      </c>
      <c r="B672" s="2" t="s">
        <v>265</v>
      </c>
      <c r="C672" s="5">
        <f>VALUE("2012")</f>
        <v>2012</v>
      </c>
      <c r="D672" s="2" t="s">
        <v>266</v>
      </c>
      <c r="E672" s="5">
        <f>VALUE("6107")</f>
        <v>6107</v>
      </c>
    </row>
    <row r="673" spans="1:5" x14ac:dyDescent="0.25">
      <c r="A673" s="2" t="s">
        <v>267</v>
      </c>
      <c r="B673" s="2" t="s">
        <v>268</v>
      </c>
      <c r="C673" s="5">
        <f>VALUE("2012")</f>
        <v>2012</v>
      </c>
      <c r="D673" s="2" t="s">
        <v>269</v>
      </c>
      <c r="E673" s="5">
        <f>VALUE("6107")</f>
        <v>6107</v>
      </c>
    </row>
    <row r="674" spans="1:5" x14ac:dyDescent="0.25">
      <c r="A674" s="2" t="s">
        <v>261</v>
      </c>
      <c r="B674" s="2" t="s">
        <v>262</v>
      </c>
      <c r="C674" s="5">
        <f>VALUE("2013")</f>
        <v>2013</v>
      </c>
      <c r="D674" s="2" t="s">
        <v>263</v>
      </c>
      <c r="E674" s="5">
        <f>VALUE("6103")</f>
        <v>6103</v>
      </c>
    </row>
    <row r="675" spans="1:5" x14ac:dyDescent="0.25">
      <c r="A675" s="2" t="s">
        <v>1829</v>
      </c>
      <c r="B675" s="2" t="s">
        <v>1830</v>
      </c>
      <c r="C675" s="5">
        <v>2006</v>
      </c>
      <c r="E675" s="5">
        <v>6101</v>
      </c>
    </row>
    <row r="676" spans="1:5" x14ac:dyDescent="0.25">
      <c r="A676" s="2" t="s">
        <v>1827</v>
      </c>
      <c r="B676" s="2" t="s">
        <v>1828</v>
      </c>
      <c r="C676" s="5">
        <v>2007</v>
      </c>
      <c r="E676" s="5">
        <v>6100</v>
      </c>
    </row>
    <row r="677" spans="1:5" x14ac:dyDescent="0.25">
      <c r="A677" s="2" t="s">
        <v>1824</v>
      </c>
      <c r="B677" s="2" t="s">
        <v>1825</v>
      </c>
      <c r="C677" s="5">
        <v>2010</v>
      </c>
      <c r="D677" s="2" t="s">
        <v>1826</v>
      </c>
      <c r="E677" s="5">
        <v>6097</v>
      </c>
    </row>
    <row r="678" spans="1:5" x14ac:dyDescent="0.25">
      <c r="A678" s="2" t="s">
        <v>1823</v>
      </c>
      <c r="B678" s="2" t="s">
        <v>1822</v>
      </c>
      <c r="C678" s="5">
        <v>2009</v>
      </c>
      <c r="E678" s="5">
        <v>6097</v>
      </c>
    </row>
    <row r="679" spans="1:5" x14ac:dyDescent="0.25">
      <c r="A679" s="2" t="s">
        <v>1821</v>
      </c>
      <c r="B679" s="2" t="s">
        <v>1822</v>
      </c>
      <c r="C679" s="5">
        <v>2008</v>
      </c>
      <c r="E679" s="5">
        <v>6097</v>
      </c>
    </row>
    <row r="680" spans="1:5" x14ac:dyDescent="0.25">
      <c r="A680" s="2" t="s">
        <v>2065</v>
      </c>
      <c r="B680" s="2" t="s">
        <v>233</v>
      </c>
      <c r="C680" s="5">
        <f>VALUE("2014")</f>
        <v>2014</v>
      </c>
      <c r="D680" s="2" t="s">
        <v>234</v>
      </c>
      <c r="E680" s="5">
        <f>VALUE("6094")</f>
        <v>6094</v>
      </c>
    </row>
    <row r="681" spans="1:5" x14ac:dyDescent="0.25">
      <c r="A681" s="2" t="s">
        <v>241</v>
      </c>
      <c r="B681" s="2" t="s">
        <v>242</v>
      </c>
      <c r="C681" s="5">
        <f>VALUE("2014")</f>
        <v>2014</v>
      </c>
      <c r="D681" s="2" t="s">
        <v>243</v>
      </c>
      <c r="E681" s="5">
        <f>VALUE("6094")</f>
        <v>6094</v>
      </c>
    </row>
    <row r="682" spans="1:5" x14ac:dyDescent="0.25">
      <c r="A682" s="2" t="s">
        <v>246</v>
      </c>
      <c r="B682" s="2" t="s">
        <v>247</v>
      </c>
      <c r="C682" s="5">
        <f>VALUE("2014")</f>
        <v>2014</v>
      </c>
      <c r="D682" s="2" t="s">
        <v>248</v>
      </c>
      <c r="E682" s="5">
        <f>VALUE("6094")</f>
        <v>6094</v>
      </c>
    </row>
    <row r="683" spans="1:5" x14ac:dyDescent="0.25">
      <c r="A683" s="2" t="s">
        <v>235</v>
      </c>
      <c r="B683" s="2" t="s">
        <v>236</v>
      </c>
      <c r="C683" s="5">
        <f>VALUE("2013")</f>
        <v>2013</v>
      </c>
      <c r="D683" s="2" t="s">
        <v>237</v>
      </c>
      <c r="E683" s="5">
        <f>VALUE("6094")</f>
        <v>6094</v>
      </c>
    </row>
    <row r="684" spans="1:5" x14ac:dyDescent="0.25">
      <c r="A684" s="2" t="s">
        <v>255</v>
      </c>
      <c r="B684" s="2" t="s">
        <v>256</v>
      </c>
      <c r="C684" s="5">
        <f>VALUE("2012")</f>
        <v>2012</v>
      </c>
      <c r="D684" s="2" t="s">
        <v>257</v>
      </c>
      <c r="E684" s="5">
        <f>VALUE("6094")</f>
        <v>6094</v>
      </c>
    </row>
    <row r="685" spans="1:5" x14ac:dyDescent="0.25">
      <c r="A685" s="2" t="s">
        <v>238</v>
      </c>
      <c r="B685" s="2" t="s">
        <v>239</v>
      </c>
      <c r="C685" s="5">
        <f>VALUE("2011")</f>
        <v>2011</v>
      </c>
      <c r="D685" s="2" t="s">
        <v>240</v>
      </c>
      <c r="E685" s="5">
        <f>VALUE("6094")</f>
        <v>6094</v>
      </c>
    </row>
    <row r="686" spans="1:5" x14ac:dyDescent="0.25">
      <c r="A686" s="2" t="s">
        <v>249</v>
      </c>
      <c r="B686" s="2" t="s">
        <v>250</v>
      </c>
      <c r="C686" s="5">
        <f>VALUE("2011")</f>
        <v>2011</v>
      </c>
      <c r="D686" s="2" t="s">
        <v>251</v>
      </c>
      <c r="E686" s="5">
        <f>VALUE("6094")</f>
        <v>6094</v>
      </c>
    </row>
    <row r="687" spans="1:5" x14ac:dyDescent="0.25">
      <c r="A687" s="2" t="s">
        <v>252</v>
      </c>
      <c r="B687" s="2" t="s">
        <v>253</v>
      </c>
      <c r="C687" s="5">
        <f>VALUE("2011")</f>
        <v>2011</v>
      </c>
      <c r="D687" s="2" t="s">
        <v>254</v>
      </c>
      <c r="E687" s="5">
        <f>VALUE("6094")</f>
        <v>6094</v>
      </c>
    </row>
    <row r="688" spans="1:5" x14ac:dyDescent="0.25">
      <c r="A688" s="2" t="s">
        <v>258</v>
      </c>
      <c r="B688" s="2" t="s">
        <v>259</v>
      </c>
      <c r="C688" s="5">
        <f>VALUE("2011")</f>
        <v>2011</v>
      </c>
      <c r="D688" s="2" t="s">
        <v>260</v>
      </c>
      <c r="E688" s="5">
        <f>VALUE("6094")</f>
        <v>6094</v>
      </c>
    </row>
    <row r="689" spans="1:5" x14ac:dyDescent="0.25">
      <c r="A689" s="2" t="s">
        <v>2066</v>
      </c>
      <c r="B689" s="2" t="s">
        <v>231</v>
      </c>
      <c r="C689" s="5">
        <f>VALUE("2010")</f>
        <v>2010</v>
      </c>
      <c r="D689" s="2" t="s">
        <v>232</v>
      </c>
      <c r="E689" s="5">
        <f>VALUE("6094")</f>
        <v>6094</v>
      </c>
    </row>
    <row r="690" spans="1:5" x14ac:dyDescent="0.25">
      <c r="A690" s="2" t="s">
        <v>2067</v>
      </c>
      <c r="B690" s="2" t="s">
        <v>244</v>
      </c>
      <c r="C690" s="5">
        <f>VALUE("2010")</f>
        <v>2010</v>
      </c>
      <c r="D690" s="2" t="s">
        <v>245</v>
      </c>
      <c r="E690" s="5">
        <f>VALUE("6094")</f>
        <v>6094</v>
      </c>
    </row>
    <row r="691" spans="1:5" x14ac:dyDescent="0.25">
      <c r="A691" s="2" t="s">
        <v>226</v>
      </c>
      <c r="C691" s="5">
        <f>VALUE("2014")</f>
        <v>2014</v>
      </c>
      <c r="D691" s="2" t="s">
        <v>227</v>
      </c>
      <c r="E691" s="5">
        <f>VALUE("6093")</f>
        <v>6093</v>
      </c>
    </row>
    <row r="692" spans="1:5" x14ac:dyDescent="0.25">
      <c r="A692" s="2" t="s">
        <v>230</v>
      </c>
      <c r="B692" s="2" t="s">
        <v>224</v>
      </c>
      <c r="C692" s="5">
        <f>VALUE("2013")</f>
        <v>2013</v>
      </c>
      <c r="D692" s="2" t="s">
        <v>29</v>
      </c>
      <c r="E692" s="5">
        <f>VALUE("6093")</f>
        <v>6093</v>
      </c>
    </row>
    <row r="693" spans="1:5" x14ac:dyDescent="0.25">
      <c r="A693" s="2" t="s">
        <v>223</v>
      </c>
      <c r="B693" s="2" t="s">
        <v>224</v>
      </c>
      <c r="C693" s="5">
        <f>VALUE("2012")</f>
        <v>2012</v>
      </c>
      <c r="D693" s="2" t="s">
        <v>225</v>
      </c>
      <c r="E693" s="5">
        <f>VALUE("6093")</f>
        <v>6093</v>
      </c>
    </row>
    <row r="694" spans="1:5" x14ac:dyDescent="0.25">
      <c r="A694" s="2" t="s">
        <v>228</v>
      </c>
      <c r="C694" s="5">
        <f>VALUE("2012")</f>
        <v>2012</v>
      </c>
      <c r="D694" s="2" t="s">
        <v>229</v>
      </c>
      <c r="E694" s="5">
        <f>VALUE("6093")</f>
        <v>6093</v>
      </c>
    </row>
    <row r="695" spans="1:5" x14ac:dyDescent="0.25">
      <c r="A695" s="2" t="s">
        <v>2068</v>
      </c>
      <c r="B695" s="2" t="s">
        <v>184</v>
      </c>
      <c r="C695" s="5">
        <v>2011</v>
      </c>
      <c r="D695" s="2" t="s">
        <v>184</v>
      </c>
      <c r="E695" s="5">
        <v>6091</v>
      </c>
    </row>
    <row r="696" spans="1:5" x14ac:dyDescent="0.25">
      <c r="A696" s="2" t="s">
        <v>1819</v>
      </c>
      <c r="B696" s="2" t="s">
        <v>1820</v>
      </c>
      <c r="C696" s="5">
        <v>2010</v>
      </c>
      <c r="D696" s="2" t="s">
        <v>187</v>
      </c>
      <c r="E696" s="5">
        <v>6091</v>
      </c>
    </row>
    <row r="697" spans="1:5" x14ac:dyDescent="0.25">
      <c r="A697" s="2" t="s">
        <v>2069</v>
      </c>
      <c r="B697" s="2" t="s">
        <v>184</v>
      </c>
      <c r="C697" s="5">
        <v>2009</v>
      </c>
      <c r="D697" s="2" t="s">
        <v>184</v>
      </c>
      <c r="E697" s="5">
        <v>6091</v>
      </c>
    </row>
    <row r="698" spans="1:5" x14ac:dyDescent="0.25">
      <c r="A698" s="2" t="s">
        <v>1817</v>
      </c>
      <c r="B698" s="2" t="s">
        <v>184</v>
      </c>
      <c r="C698" s="5">
        <v>2008</v>
      </c>
      <c r="D698" s="2" t="s">
        <v>184</v>
      </c>
      <c r="E698" s="5">
        <v>6091</v>
      </c>
    </row>
    <row r="699" spans="1:5" x14ac:dyDescent="0.25">
      <c r="A699" s="2" t="s">
        <v>2070</v>
      </c>
      <c r="B699" s="2" t="s">
        <v>1818</v>
      </c>
      <c r="C699" s="5">
        <v>2008</v>
      </c>
      <c r="D699" s="2" t="s">
        <v>187</v>
      </c>
      <c r="E699" s="5">
        <v>6091</v>
      </c>
    </row>
    <row r="700" spans="1:5" x14ac:dyDescent="0.25">
      <c r="A700" s="2" t="s">
        <v>2071</v>
      </c>
      <c r="B700" s="2" t="s">
        <v>221</v>
      </c>
      <c r="C700" s="5">
        <f>VALUE("2014")</f>
        <v>2014</v>
      </c>
      <c r="D700" s="2" t="s">
        <v>222</v>
      </c>
      <c r="E700" s="5">
        <f>VALUE("6089")</f>
        <v>6089</v>
      </c>
    </row>
    <row r="701" spans="1:5" x14ac:dyDescent="0.25">
      <c r="A701" s="2" t="s">
        <v>218</v>
      </c>
      <c r="B701" s="2" t="s">
        <v>219</v>
      </c>
      <c r="C701" s="5">
        <f>VALUE("2010")</f>
        <v>2010</v>
      </c>
      <c r="D701" s="2" t="s">
        <v>220</v>
      </c>
      <c r="E701" s="5">
        <f>VALUE("6089")</f>
        <v>6089</v>
      </c>
    </row>
    <row r="702" spans="1:5" x14ac:dyDescent="0.25">
      <c r="A702" s="2" t="s">
        <v>215</v>
      </c>
      <c r="B702" s="2" t="s">
        <v>216</v>
      </c>
      <c r="C702" s="5">
        <f>VALUE("2008")</f>
        <v>2008</v>
      </c>
      <c r="D702" s="2" t="s">
        <v>217</v>
      </c>
      <c r="E702" s="5">
        <f>VALUE("6089")</f>
        <v>6089</v>
      </c>
    </row>
    <row r="703" spans="1:5" x14ac:dyDescent="0.25">
      <c r="A703" s="2" t="s">
        <v>193</v>
      </c>
      <c r="B703" s="2" t="s">
        <v>194</v>
      </c>
      <c r="C703" s="5">
        <f>VALUE("2012")</f>
        <v>2012</v>
      </c>
      <c r="D703" s="2" t="s">
        <v>195</v>
      </c>
      <c r="E703" s="5">
        <f>VALUE("6088")</f>
        <v>6088</v>
      </c>
    </row>
    <row r="704" spans="1:5" x14ac:dyDescent="0.25">
      <c r="A704" s="2" t="s">
        <v>210</v>
      </c>
      <c r="B704" s="2" t="s">
        <v>211</v>
      </c>
      <c r="C704" s="5">
        <f>VALUE("2012")</f>
        <v>2012</v>
      </c>
      <c r="D704" s="2" t="s">
        <v>212</v>
      </c>
      <c r="E704" s="5">
        <f>VALUE("6088")</f>
        <v>6088</v>
      </c>
    </row>
    <row r="705" spans="1:5" x14ac:dyDescent="0.25">
      <c r="A705" s="2" t="s">
        <v>201</v>
      </c>
      <c r="B705" s="2" t="s">
        <v>202</v>
      </c>
      <c r="C705" s="5">
        <f>VALUE("2011")</f>
        <v>2011</v>
      </c>
      <c r="D705" s="2" t="s">
        <v>203</v>
      </c>
      <c r="E705" s="5">
        <f>VALUE("6088")</f>
        <v>6088</v>
      </c>
    </row>
    <row r="706" spans="1:5" x14ac:dyDescent="0.25">
      <c r="A706" s="2" t="s">
        <v>204</v>
      </c>
      <c r="B706" s="2" t="s">
        <v>205</v>
      </c>
      <c r="C706" s="5">
        <f>VALUE("2011")</f>
        <v>2011</v>
      </c>
      <c r="D706" s="2" t="s">
        <v>206</v>
      </c>
      <c r="E706" s="5">
        <f>VALUE("6088")</f>
        <v>6088</v>
      </c>
    </row>
    <row r="707" spans="1:5" x14ac:dyDescent="0.25">
      <c r="A707" s="2" t="s">
        <v>207</v>
      </c>
      <c r="B707" s="2" t="s">
        <v>208</v>
      </c>
      <c r="C707" s="5">
        <f>VALUE("2011")</f>
        <v>2011</v>
      </c>
      <c r="D707" s="2" t="s">
        <v>209</v>
      </c>
      <c r="E707" s="5">
        <f>VALUE("6088")</f>
        <v>6088</v>
      </c>
    </row>
    <row r="708" spans="1:5" x14ac:dyDescent="0.25">
      <c r="A708" s="2" t="s">
        <v>213</v>
      </c>
      <c r="B708" s="2" t="s">
        <v>214</v>
      </c>
      <c r="C708" s="5">
        <f>VALUE("2011")</f>
        <v>2011</v>
      </c>
      <c r="D708" s="2" t="s">
        <v>209</v>
      </c>
      <c r="E708" s="5">
        <f>VALUE("6088")</f>
        <v>6088</v>
      </c>
    </row>
    <row r="709" spans="1:5" x14ac:dyDescent="0.25">
      <c r="A709" s="2" t="s">
        <v>199</v>
      </c>
      <c r="B709" s="2" t="s">
        <v>197</v>
      </c>
      <c r="C709" s="5">
        <f>VALUE("2010")</f>
        <v>2010</v>
      </c>
      <c r="D709" s="2" t="s">
        <v>200</v>
      </c>
      <c r="E709" s="5">
        <f>VALUE("6088")</f>
        <v>6088</v>
      </c>
    </row>
    <row r="710" spans="1:5" x14ac:dyDescent="0.25">
      <c r="A710" s="2" t="s">
        <v>196</v>
      </c>
      <c r="B710" s="2" t="s">
        <v>197</v>
      </c>
      <c r="C710" s="5">
        <f>VALUE("2008")</f>
        <v>2008</v>
      </c>
      <c r="D710" s="2" t="s">
        <v>198</v>
      </c>
      <c r="E710" s="5">
        <f>VALUE("6088")</f>
        <v>6088</v>
      </c>
    </row>
    <row r="711" spans="1:5" x14ac:dyDescent="0.25">
      <c r="A711" s="2" t="s">
        <v>1815</v>
      </c>
      <c r="B711" s="2" t="s">
        <v>1816</v>
      </c>
      <c r="C711" s="5">
        <v>2008</v>
      </c>
      <c r="E711" s="5">
        <v>6084</v>
      </c>
    </row>
    <row r="712" spans="1:5" x14ac:dyDescent="0.25">
      <c r="A712" s="2" t="s">
        <v>1813</v>
      </c>
      <c r="B712" s="2" t="s">
        <v>1814</v>
      </c>
      <c r="C712" s="5">
        <v>2008</v>
      </c>
      <c r="E712" s="5">
        <v>6082</v>
      </c>
    </row>
    <row r="713" spans="1:5" x14ac:dyDescent="0.25">
      <c r="A713" s="2" t="s">
        <v>191</v>
      </c>
      <c r="B713" s="2" t="s">
        <v>192</v>
      </c>
      <c r="C713" s="5">
        <f>VALUE("2009")</f>
        <v>2009</v>
      </c>
      <c r="E713" s="5">
        <f>VALUE("6081")</f>
        <v>6081</v>
      </c>
    </row>
    <row r="714" spans="1:5" x14ac:dyDescent="0.25">
      <c r="A714" s="2" t="s">
        <v>1811</v>
      </c>
      <c r="B714" s="2" t="s">
        <v>1812</v>
      </c>
      <c r="C714" s="5">
        <v>2007</v>
      </c>
      <c r="E714" s="5">
        <v>6080</v>
      </c>
    </row>
    <row r="715" spans="1:5" x14ac:dyDescent="0.25">
      <c r="A715" s="2" t="s">
        <v>2072</v>
      </c>
      <c r="B715" s="3" t="s">
        <v>2073</v>
      </c>
      <c r="C715" s="5">
        <f>VALUE("2013")</f>
        <v>2013</v>
      </c>
      <c r="D715" s="2" t="s">
        <v>190</v>
      </c>
      <c r="E715" s="5">
        <f>VALUE("6079")</f>
        <v>6079</v>
      </c>
    </row>
    <row r="716" spans="1:5" x14ac:dyDescent="0.25">
      <c r="A716" s="2" t="s">
        <v>2075</v>
      </c>
      <c r="B716" s="2" t="s">
        <v>2074</v>
      </c>
      <c r="C716" s="5">
        <f>VALUE("2010")</f>
        <v>2010</v>
      </c>
      <c r="D716" s="2" t="s">
        <v>188</v>
      </c>
      <c r="E716" s="5">
        <f>VALUE("6079")</f>
        <v>6079</v>
      </c>
    </row>
    <row r="717" spans="1:5" x14ac:dyDescent="0.25">
      <c r="A717" s="2" t="s">
        <v>2076</v>
      </c>
      <c r="B717" s="2" t="s">
        <v>2074</v>
      </c>
      <c r="C717" s="5">
        <f>VALUE("2010")</f>
        <v>2010</v>
      </c>
      <c r="D717" s="2" t="s">
        <v>189</v>
      </c>
      <c r="E717" s="5">
        <f>VALUE("6079")</f>
        <v>6079</v>
      </c>
    </row>
    <row r="718" spans="1:5" x14ac:dyDescent="0.25">
      <c r="A718" s="2" t="s">
        <v>2077</v>
      </c>
      <c r="B718" s="2" t="s">
        <v>186</v>
      </c>
      <c r="C718" s="5">
        <f>VALUE("2014")</f>
        <v>2014</v>
      </c>
      <c r="D718" s="2" t="s">
        <v>187</v>
      </c>
      <c r="E718" s="5">
        <f>VALUE("6076")</f>
        <v>6076</v>
      </c>
    </row>
    <row r="719" spans="1:5" x14ac:dyDescent="0.25">
      <c r="A719" s="2" t="s">
        <v>2078</v>
      </c>
      <c r="B719" s="2" t="s">
        <v>184</v>
      </c>
      <c r="C719" s="5">
        <v>2013</v>
      </c>
      <c r="D719" s="2" t="s">
        <v>185</v>
      </c>
      <c r="E719" s="5">
        <f>VALUE("6076")</f>
        <v>6076</v>
      </c>
    </row>
    <row r="720" spans="1:5" x14ac:dyDescent="0.25">
      <c r="A720" s="2" t="s">
        <v>181</v>
      </c>
      <c r="B720" s="2" t="s">
        <v>182</v>
      </c>
      <c r="C720" s="5">
        <f>VALUE("2014")</f>
        <v>2014</v>
      </c>
      <c r="D720" s="2" t="s">
        <v>183</v>
      </c>
      <c r="E720" s="5">
        <f>VALUE("6073")</f>
        <v>6073</v>
      </c>
    </row>
    <row r="721" spans="1:5" x14ac:dyDescent="0.25">
      <c r="A721" s="2" t="s">
        <v>1809</v>
      </c>
      <c r="B721" s="2" t="s">
        <v>1810</v>
      </c>
      <c r="C721" s="5">
        <v>2008</v>
      </c>
      <c r="E721" s="5">
        <v>6069</v>
      </c>
    </row>
    <row r="722" spans="1:5" x14ac:dyDescent="0.25">
      <c r="A722" s="2" t="s">
        <v>1807</v>
      </c>
      <c r="B722" s="2" t="s">
        <v>1808</v>
      </c>
      <c r="C722" s="5">
        <v>2008</v>
      </c>
      <c r="E722" s="5">
        <v>6068</v>
      </c>
    </row>
    <row r="723" spans="1:5" x14ac:dyDescent="0.25">
      <c r="A723" s="2" t="s">
        <v>174</v>
      </c>
      <c r="B723" s="2" t="s">
        <v>175</v>
      </c>
      <c r="C723" s="5">
        <f>VALUE("2011")</f>
        <v>2011</v>
      </c>
      <c r="D723" s="2" t="s">
        <v>106</v>
      </c>
      <c r="E723" s="5">
        <f>VALUE("6065")</f>
        <v>6065</v>
      </c>
    </row>
    <row r="724" spans="1:5" x14ac:dyDescent="0.25">
      <c r="A724" s="2" t="s">
        <v>171</v>
      </c>
      <c r="B724" s="2" t="s">
        <v>172</v>
      </c>
      <c r="C724" s="5">
        <f>VALUE("2010")</f>
        <v>2010</v>
      </c>
      <c r="D724" s="2" t="s">
        <v>173</v>
      </c>
      <c r="E724" s="5">
        <f>VALUE("6065")</f>
        <v>6065</v>
      </c>
    </row>
    <row r="725" spans="1:5" x14ac:dyDescent="0.25">
      <c r="A725" s="2" t="s">
        <v>176</v>
      </c>
      <c r="B725" s="2" t="s">
        <v>177</v>
      </c>
      <c r="C725" s="5">
        <f>VALUE("2008")</f>
        <v>2008</v>
      </c>
      <c r="D725" s="2" t="s">
        <v>109</v>
      </c>
      <c r="E725" s="5">
        <f>VALUE("6065")</f>
        <v>6065</v>
      </c>
    </row>
    <row r="726" spans="1:5" x14ac:dyDescent="0.25">
      <c r="A726" s="2" t="s">
        <v>178</v>
      </c>
      <c r="B726" s="2" t="s">
        <v>179</v>
      </c>
      <c r="C726" s="5">
        <f>VALUE("2008")</f>
        <v>2008</v>
      </c>
      <c r="D726" s="2" t="s">
        <v>180</v>
      </c>
      <c r="E726" s="5">
        <f>VALUE("6065")</f>
        <v>6065</v>
      </c>
    </row>
    <row r="727" spans="1:5" x14ac:dyDescent="0.25">
      <c r="A727" s="2" t="s">
        <v>162</v>
      </c>
      <c r="B727" s="2" t="s">
        <v>163</v>
      </c>
      <c r="C727" s="5">
        <f>VALUE("2014")</f>
        <v>2014</v>
      </c>
      <c r="D727" s="2" t="s">
        <v>164</v>
      </c>
      <c r="E727" s="5">
        <f>VALUE("6064")</f>
        <v>6064</v>
      </c>
    </row>
    <row r="728" spans="1:5" x14ac:dyDescent="0.25">
      <c r="A728" s="2" t="s">
        <v>165</v>
      </c>
      <c r="B728" s="2" t="s">
        <v>166</v>
      </c>
      <c r="C728" s="5">
        <f>VALUE("2012")</f>
        <v>2012</v>
      </c>
      <c r="D728" s="2" t="s">
        <v>167</v>
      </c>
      <c r="E728" s="5">
        <f>VALUE("6064")</f>
        <v>6064</v>
      </c>
    </row>
    <row r="729" spans="1:5" x14ac:dyDescent="0.25">
      <c r="A729" s="2" t="s">
        <v>168</v>
      </c>
      <c r="B729" s="2" t="s">
        <v>169</v>
      </c>
      <c r="C729" s="5">
        <f>VALUE("2011")</f>
        <v>2011</v>
      </c>
      <c r="D729" s="2" t="s">
        <v>170</v>
      </c>
      <c r="E729" s="5">
        <f>VALUE("6064")</f>
        <v>6064</v>
      </c>
    </row>
    <row r="730" spans="1:5" x14ac:dyDescent="0.25">
      <c r="A730" s="2" t="s">
        <v>1805</v>
      </c>
      <c r="B730" s="2" t="s">
        <v>1806</v>
      </c>
      <c r="C730" s="5">
        <v>2008</v>
      </c>
      <c r="E730" s="5">
        <v>6063</v>
      </c>
    </row>
    <row r="731" spans="1:5" x14ac:dyDescent="0.25">
      <c r="A731" s="2" t="s">
        <v>158</v>
      </c>
      <c r="B731" s="2" t="s">
        <v>152</v>
      </c>
      <c r="C731" s="5">
        <f>VALUE("2015")</f>
        <v>2015</v>
      </c>
      <c r="D731" s="2" t="s">
        <v>159</v>
      </c>
      <c r="E731" s="5">
        <f>VALUE("6062")</f>
        <v>6062</v>
      </c>
    </row>
    <row r="732" spans="1:5" x14ac:dyDescent="0.25">
      <c r="A732" s="2" t="s">
        <v>160</v>
      </c>
      <c r="B732" s="2" t="s">
        <v>155</v>
      </c>
      <c r="C732" s="5">
        <f>VALUE("2015")</f>
        <v>2015</v>
      </c>
      <c r="D732" s="2" t="s">
        <v>161</v>
      </c>
      <c r="E732" s="5">
        <f>VALUE("6062")</f>
        <v>6062</v>
      </c>
    </row>
    <row r="733" spans="1:5" x14ac:dyDescent="0.25">
      <c r="A733" s="2" t="s">
        <v>151</v>
      </c>
      <c r="B733" s="2" t="s">
        <v>152</v>
      </c>
      <c r="C733" s="5">
        <f>VALUE("2013")</f>
        <v>2013</v>
      </c>
      <c r="D733" s="2" t="s">
        <v>153</v>
      </c>
      <c r="E733" s="5">
        <f>VALUE("6062")</f>
        <v>6062</v>
      </c>
    </row>
    <row r="734" spans="1:5" x14ac:dyDescent="0.25">
      <c r="A734" s="2" t="s">
        <v>154</v>
      </c>
      <c r="B734" s="2" t="s">
        <v>155</v>
      </c>
      <c r="C734" s="5">
        <f>VALUE("2013")</f>
        <v>2013</v>
      </c>
      <c r="D734" s="2" t="s">
        <v>156</v>
      </c>
      <c r="E734" s="5">
        <f>VALUE("6062")</f>
        <v>6062</v>
      </c>
    </row>
    <row r="735" spans="1:5" x14ac:dyDescent="0.25">
      <c r="A735" s="2" t="s">
        <v>158</v>
      </c>
      <c r="B735" s="2" t="s">
        <v>152</v>
      </c>
      <c r="C735" s="5">
        <f>VALUE("2013")</f>
        <v>2013</v>
      </c>
      <c r="D735" s="2" t="s">
        <v>157</v>
      </c>
      <c r="E735" s="5">
        <f>VALUE("6062")</f>
        <v>6062</v>
      </c>
    </row>
    <row r="736" spans="1:5" x14ac:dyDescent="0.25">
      <c r="A736" s="2" t="s">
        <v>1803</v>
      </c>
      <c r="B736" s="2" t="s">
        <v>1804</v>
      </c>
      <c r="C736" s="5">
        <v>2012</v>
      </c>
      <c r="D736" s="2" t="s">
        <v>229</v>
      </c>
      <c r="E736" s="5">
        <v>6059</v>
      </c>
    </row>
    <row r="737" spans="1:5" x14ac:dyDescent="0.25">
      <c r="A737" s="2" t="s">
        <v>1797</v>
      </c>
      <c r="B737" s="2" t="s">
        <v>1798</v>
      </c>
      <c r="C737" s="5">
        <v>2009</v>
      </c>
      <c r="E737" s="5">
        <v>6059</v>
      </c>
    </row>
    <row r="738" spans="1:5" x14ac:dyDescent="0.25">
      <c r="A738" s="2" t="s">
        <v>1799</v>
      </c>
      <c r="B738" s="2" t="s">
        <v>1800</v>
      </c>
      <c r="C738" s="5">
        <v>2009</v>
      </c>
      <c r="E738" s="5">
        <v>6059</v>
      </c>
    </row>
    <row r="739" spans="1:5" x14ac:dyDescent="0.25">
      <c r="A739" s="2" t="s">
        <v>1801</v>
      </c>
      <c r="B739" s="2" t="s">
        <v>1802</v>
      </c>
      <c r="C739" s="5">
        <v>2009</v>
      </c>
      <c r="E739" s="5">
        <v>6059</v>
      </c>
    </row>
    <row r="740" spans="1:5" x14ac:dyDescent="0.25">
      <c r="A740" s="2" t="s">
        <v>146</v>
      </c>
      <c r="B740" s="2" t="s">
        <v>147</v>
      </c>
      <c r="C740" s="5">
        <f>VALUE("2010")</f>
        <v>2010</v>
      </c>
      <c r="D740" s="2" t="s">
        <v>148</v>
      </c>
      <c r="E740" s="5">
        <f>VALUE("6058")</f>
        <v>6058</v>
      </c>
    </row>
    <row r="741" spans="1:5" x14ac:dyDescent="0.25">
      <c r="A741" s="2" t="s">
        <v>149</v>
      </c>
      <c r="B741" s="2" t="s">
        <v>150</v>
      </c>
      <c r="C741" s="5">
        <f>VALUE("2010")</f>
        <v>2010</v>
      </c>
      <c r="D741" s="2" t="s">
        <v>148</v>
      </c>
      <c r="E741" s="5">
        <f>VALUE("6058")</f>
        <v>6058</v>
      </c>
    </row>
    <row r="742" spans="1:5" x14ac:dyDescent="0.25">
      <c r="A742" s="2" t="s">
        <v>143</v>
      </c>
      <c r="B742" s="2" t="s">
        <v>144</v>
      </c>
      <c r="C742" s="5">
        <f>VALUE("2017")</f>
        <v>2017</v>
      </c>
      <c r="D742" s="2" t="s">
        <v>145</v>
      </c>
      <c r="E742" s="5">
        <f>VALUE("6048")</f>
        <v>6048</v>
      </c>
    </row>
    <row r="743" spans="1:5" x14ac:dyDescent="0.25">
      <c r="A743" s="2" t="s">
        <v>141</v>
      </c>
      <c r="B743" s="2" t="s">
        <v>142</v>
      </c>
      <c r="C743" s="5">
        <f>VALUE("2007")</f>
        <v>2007</v>
      </c>
      <c r="E743" s="5">
        <f>VALUE("6048")</f>
        <v>6048</v>
      </c>
    </row>
    <row r="744" spans="1:5" x14ac:dyDescent="0.25">
      <c r="A744" s="2" t="s">
        <v>129</v>
      </c>
      <c r="B744" s="2" t="s">
        <v>130</v>
      </c>
      <c r="C744" s="5">
        <f>VALUE("2014")</f>
        <v>2014</v>
      </c>
      <c r="D744" s="2" t="s">
        <v>131</v>
      </c>
      <c r="E744" s="5">
        <f>VALUE("6045")</f>
        <v>6045</v>
      </c>
    </row>
    <row r="745" spans="1:5" x14ac:dyDescent="0.25">
      <c r="A745" s="2" t="s">
        <v>135</v>
      </c>
      <c r="B745" s="2" t="s">
        <v>136</v>
      </c>
      <c r="C745" s="5">
        <f>VALUE("2013")</f>
        <v>2013</v>
      </c>
      <c r="D745" s="2" t="s">
        <v>137</v>
      </c>
      <c r="E745" s="5">
        <f>VALUE("6045")</f>
        <v>6045</v>
      </c>
    </row>
    <row r="746" spans="1:5" x14ac:dyDescent="0.25">
      <c r="A746" s="2" t="s">
        <v>126</v>
      </c>
      <c r="B746" s="2" t="s">
        <v>127</v>
      </c>
      <c r="C746" s="5">
        <f>VALUE("2012")</f>
        <v>2012</v>
      </c>
      <c r="D746" s="2" t="s">
        <v>128</v>
      </c>
      <c r="E746" s="5">
        <f>VALUE("6045")</f>
        <v>6045</v>
      </c>
    </row>
    <row r="747" spans="1:5" x14ac:dyDescent="0.25">
      <c r="A747" s="2" t="s">
        <v>138</v>
      </c>
      <c r="B747" s="2" t="s">
        <v>139</v>
      </c>
      <c r="C747" s="5">
        <f>VALUE("2012")</f>
        <v>2012</v>
      </c>
      <c r="D747" s="2" t="s">
        <v>140</v>
      </c>
      <c r="E747" s="5">
        <f>VALUE("6045")</f>
        <v>6045</v>
      </c>
    </row>
    <row r="748" spans="1:5" x14ac:dyDescent="0.25">
      <c r="A748" s="2" t="s">
        <v>132</v>
      </c>
      <c r="B748" s="2" t="s">
        <v>133</v>
      </c>
      <c r="C748" s="5">
        <f>VALUE("2011")</f>
        <v>2011</v>
      </c>
      <c r="D748" s="2" t="s">
        <v>134</v>
      </c>
      <c r="E748" s="5">
        <f>VALUE("6045")</f>
        <v>6045</v>
      </c>
    </row>
    <row r="749" spans="1:5" x14ac:dyDescent="0.25">
      <c r="A749" s="2" t="s">
        <v>1795</v>
      </c>
      <c r="B749" s="2" t="s">
        <v>1796</v>
      </c>
      <c r="C749" s="5">
        <v>2010</v>
      </c>
      <c r="E749" s="5">
        <v>6042</v>
      </c>
    </row>
    <row r="750" spans="1:5" x14ac:dyDescent="0.25">
      <c r="A750" s="2" t="s">
        <v>123</v>
      </c>
      <c r="B750" s="2" t="s">
        <v>124</v>
      </c>
      <c r="C750" s="5">
        <f>VALUE("2014")</f>
        <v>2014</v>
      </c>
      <c r="D750" s="2" t="s">
        <v>125</v>
      </c>
      <c r="E750" s="5">
        <f>VALUE("6040")</f>
        <v>6040</v>
      </c>
    </row>
    <row r="751" spans="1:5" x14ac:dyDescent="0.25">
      <c r="A751" s="2" t="s">
        <v>1786</v>
      </c>
      <c r="B751" s="2" t="s">
        <v>1787</v>
      </c>
      <c r="C751" s="5">
        <v>2011</v>
      </c>
      <c r="D751" s="2" t="s">
        <v>1785</v>
      </c>
      <c r="E751" s="5">
        <v>6039</v>
      </c>
    </row>
    <row r="752" spans="1:5" x14ac:dyDescent="0.25">
      <c r="A752" s="2" t="s">
        <v>2079</v>
      </c>
      <c r="B752" s="2" t="s">
        <v>1788</v>
      </c>
      <c r="C752" s="5">
        <v>2011</v>
      </c>
      <c r="D752" s="2" t="s">
        <v>1789</v>
      </c>
      <c r="E752" s="5">
        <v>6039</v>
      </c>
    </row>
    <row r="753" spans="1:5" x14ac:dyDescent="0.25">
      <c r="A753" s="2" t="s">
        <v>1790</v>
      </c>
      <c r="B753" s="2" t="s">
        <v>1791</v>
      </c>
      <c r="C753" s="5">
        <v>2011</v>
      </c>
      <c r="D753" s="2" t="s">
        <v>1792</v>
      </c>
      <c r="E753" s="5">
        <v>6039</v>
      </c>
    </row>
    <row r="754" spans="1:5" x14ac:dyDescent="0.25">
      <c r="A754" s="2" t="s">
        <v>1793</v>
      </c>
      <c r="B754" s="2" t="s">
        <v>1791</v>
      </c>
      <c r="C754" s="5">
        <v>2010</v>
      </c>
      <c r="D754" s="2" t="s">
        <v>1794</v>
      </c>
      <c r="E754" s="5">
        <v>6039</v>
      </c>
    </row>
    <row r="755" spans="1:5" x14ac:dyDescent="0.25">
      <c r="A755" s="2" t="s">
        <v>1781</v>
      </c>
      <c r="B755" s="2" t="s">
        <v>1782</v>
      </c>
      <c r="C755" s="5">
        <v>2008</v>
      </c>
      <c r="D755" s="2" t="s">
        <v>979</v>
      </c>
      <c r="E755" s="5">
        <v>6039</v>
      </c>
    </row>
    <row r="756" spans="1:5" x14ac:dyDescent="0.25">
      <c r="A756" s="2" t="s">
        <v>1783</v>
      </c>
      <c r="B756" s="2" t="s">
        <v>1784</v>
      </c>
      <c r="C756" s="5">
        <v>2008</v>
      </c>
      <c r="D756" s="2" t="s">
        <v>1785</v>
      </c>
      <c r="E756" s="5">
        <v>6039</v>
      </c>
    </row>
    <row r="757" spans="1:5" x14ac:dyDescent="0.25">
      <c r="A757" s="2" t="s">
        <v>1779</v>
      </c>
      <c r="B757" s="2" t="s">
        <v>1780</v>
      </c>
      <c r="C757" s="5">
        <v>2007</v>
      </c>
      <c r="E757" s="5">
        <v>6037</v>
      </c>
    </row>
    <row r="758" spans="1:5" x14ac:dyDescent="0.25">
      <c r="A758" s="2" t="s">
        <v>1777</v>
      </c>
      <c r="B758" s="2" t="s">
        <v>1778</v>
      </c>
      <c r="C758" s="5">
        <v>2008</v>
      </c>
      <c r="E758" s="5">
        <v>6036</v>
      </c>
    </row>
    <row r="759" spans="1:5" x14ac:dyDescent="0.25">
      <c r="A759" s="2" t="s">
        <v>2080</v>
      </c>
      <c r="B759" s="2" t="s">
        <v>122</v>
      </c>
      <c r="C759" s="5">
        <f>VALUE("2009")</f>
        <v>2009</v>
      </c>
      <c r="E759" s="5">
        <f>VALUE("6034")</f>
        <v>6034</v>
      </c>
    </row>
    <row r="760" spans="1:5" x14ac:dyDescent="0.25">
      <c r="A760" s="2" t="s">
        <v>1775</v>
      </c>
      <c r="B760" s="2" t="s">
        <v>1776</v>
      </c>
      <c r="C760" s="5">
        <v>2009</v>
      </c>
      <c r="E760" s="5">
        <v>6032</v>
      </c>
    </row>
    <row r="761" spans="1:5" x14ac:dyDescent="0.25">
      <c r="A761" s="2" t="s">
        <v>1773</v>
      </c>
      <c r="B761" s="2" t="s">
        <v>1774</v>
      </c>
      <c r="C761" s="5">
        <v>2008</v>
      </c>
      <c r="E761" s="5">
        <v>6031</v>
      </c>
    </row>
    <row r="762" spans="1:5" x14ac:dyDescent="0.25">
      <c r="A762" s="2" t="s">
        <v>1771</v>
      </c>
      <c r="B762" s="2" t="s">
        <v>1772</v>
      </c>
      <c r="C762" s="5">
        <v>2005</v>
      </c>
      <c r="E762" s="5">
        <v>6030</v>
      </c>
    </row>
    <row r="763" spans="1:5" ht="30" x14ac:dyDescent="0.25">
      <c r="A763" s="3" t="s">
        <v>2081</v>
      </c>
      <c r="B763" s="2" t="s">
        <v>120</v>
      </c>
      <c r="C763" s="5">
        <f>VALUE("2011")</f>
        <v>2011</v>
      </c>
      <c r="D763" s="2" t="s">
        <v>121</v>
      </c>
      <c r="E763" s="5">
        <f>VALUE("6028")</f>
        <v>6028</v>
      </c>
    </row>
    <row r="764" spans="1:5" x14ac:dyDescent="0.25">
      <c r="A764" s="7" t="s">
        <v>114</v>
      </c>
      <c r="B764" s="7" t="s">
        <v>115</v>
      </c>
      <c r="C764" s="5">
        <f>VALUE("2010")</f>
        <v>2010</v>
      </c>
      <c r="D764" s="2" t="s">
        <v>116</v>
      </c>
      <c r="E764" s="5">
        <f>VALUE("6028")</f>
        <v>6028</v>
      </c>
    </row>
    <row r="765" spans="1:5" x14ac:dyDescent="0.25">
      <c r="A765" s="2" t="s">
        <v>117</v>
      </c>
      <c r="B765" s="2" t="s">
        <v>118</v>
      </c>
      <c r="C765" s="5">
        <f>VALUE("2010")</f>
        <v>2010</v>
      </c>
      <c r="D765" s="2" t="s">
        <v>119</v>
      </c>
      <c r="E765" s="5">
        <f>VALUE("6028")</f>
        <v>6028</v>
      </c>
    </row>
    <row r="766" spans="1:5" x14ac:dyDescent="0.25">
      <c r="A766" s="2" t="s">
        <v>2083</v>
      </c>
      <c r="B766" s="2" t="s">
        <v>112</v>
      </c>
      <c r="C766" s="5">
        <f>VALUE("2013")</f>
        <v>2013</v>
      </c>
      <c r="D766" s="2" t="s">
        <v>113</v>
      </c>
      <c r="E766" s="5">
        <f>VALUE("6027")</f>
        <v>6027</v>
      </c>
    </row>
    <row r="767" spans="1:5" x14ac:dyDescent="0.25">
      <c r="A767" s="2" t="s">
        <v>2082</v>
      </c>
      <c r="B767" s="2" t="s">
        <v>110</v>
      </c>
      <c r="C767" s="5">
        <f>VALUE("2011")</f>
        <v>2011</v>
      </c>
      <c r="D767" s="2" t="s">
        <v>111</v>
      </c>
      <c r="E767" s="5">
        <f>VALUE("6027")</f>
        <v>6027</v>
      </c>
    </row>
    <row r="768" spans="1:5" x14ac:dyDescent="0.25">
      <c r="A768" s="2" t="s">
        <v>1769</v>
      </c>
      <c r="B768" s="2" t="s">
        <v>1770</v>
      </c>
      <c r="C768" s="5">
        <v>2008</v>
      </c>
      <c r="E768" s="5">
        <v>6025</v>
      </c>
    </row>
    <row r="769" spans="1:5" x14ac:dyDescent="0.25">
      <c r="A769" s="2" t="s">
        <v>1767</v>
      </c>
      <c r="B769" s="2" t="s">
        <v>1764</v>
      </c>
      <c r="C769" s="5">
        <v>2009</v>
      </c>
      <c r="E769" s="5">
        <v>6024</v>
      </c>
    </row>
    <row r="770" spans="1:5" x14ac:dyDescent="0.25">
      <c r="A770" s="2" t="s">
        <v>1768</v>
      </c>
      <c r="B770" s="2" t="s">
        <v>1766</v>
      </c>
      <c r="C770" s="5">
        <v>2009</v>
      </c>
      <c r="E770" s="5">
        <v>6024</v>
      </c>
    </row>
    <row r="771" spans="1:5" x14ac:dyDescent="0.25">
      <c r="A771" s="2" t="s">
        <v>1763</v>
      </c>
      <c r="B771" s="2" t="s">
        <v>1764</v>
      </c>
      <c r="C771" s="5">
        <v>2009</v>
      </c>
      <c r="D771" s="2" t="s">
        <v>735</v>
      </c>
      <c r="E771" s="5">
        <v>6023</v>
      </c>
    </row>
    <row r="772" spans="1:5" x14ac:dyDescent="0.25">
      <c r="A772" s="2" t="s">
        <v>1765</v>
      </c>
      <c r="B772" s="2" t="s">
        <v>1766</v>
      </c>
      <c r="C772" s="5">
        <v>2009</v>
      </c>
      <c r="E772" s="5">
        <v>6023</v>
      </c>
    </row>
    <row r="773" spans="1:5" x14ac:dyDescent="0.25">
      <c r="A773" s="2" t="s">
        <v>1761</v>
      </c>
      <c r="B773" s="2" t="s">
        <v>1762</v>
      </c>
      <c r="C773" s="5">
        <v>2010</v>
      </c>
      <c r="E773" s="5">
        <v>6017</v>
      </c>
    </row>
    <row r="774" spans="1:5" x14ac:dyDescent="0.25">
      <c r="A774" s="2" t="s">
        <v>1759</v>
      </c>
      <c r="B774" s="2" t="s">
        <v>1760</v>
      </c>
      <c r="C774" s="5">
        <v>2009</v>
      </c>
      <c r="E774" s="5">
        <v>6017</v>
      </c>
    </row>
    <row r="775" spans="1:5" x14ac:dyDescent="0.25">
      <c r="A775" s="2" t="s">
        <v>107</v>
      </c>
      <c r="B775" s="2" t="s">
        <v>108</v>
      </c>
      <c r="C775" s="5">
        <f>VALUE("2008")</f>
        <v>2008</v>
      </c>
      <c r="D775" s="2" t="s">
        <v>109</v>
      </c>
      <c r="E775" s="5">
        <f>VALUE("6016")</f>
        <v>6016</v>
      </c>
    </row>
    <row r="776" spans="1:5" x14ac:dyDescent="0.25">
      <c r="A776" s="2" t="s">
        <v>104</v>
      </c>
      <c r="B776" s="2" t="s">
        <v>105</v>
      </c>
      <c r="C776" s="5">
        <f>VALUE("2007")</f>
        <v>2007</v>
      </c>
      <c r="D776" s="2" t="s">
        <v>106</v>
      </c>
      <c r="E776" s="5">
        <f>VALUE("6015")</f>
        <v>6015</v>
      </c>
    </row>
    <row r="777" spans="1:5" x14ac:dyDescent="0.25">
      <c r="A777" s="2" t="s">
        <v>101</v>
      </c>
      <c r="B777" s="2" t="s">
        <v>102</v>
      </c>
      <c r="C777" s="5">
        <f>VALUE("2007")</f>
        <v>2007</v>
      </c>
      <c r="D777" s="2" t="s">
        <v>103</v>
      </c>
      <c r="E777" s="5">
        <f>VALUE("6014")</f>
        <v>6014</v>
      </c>
    </row>
    <row r="778" spans="1:5" x14ac:dyDescent="0.25">
      <c r="A778" s="2" t="s">
        <v>1757</v>
      </c>
      <c r="B778" s="2" t="s">
        <v>1758</v>
      </c>
      <c r="C778" s="5">
        <v>2007</v>
      </c>
      <c r="E778" s="5">
        <v>6012</v>
      </c>
    </row>
    <row r="779" spans="1:5" x14ac:dyDescent="0.25">
      <c r="A779" s="2" t="s">
        <v>1751</v>
      </c>
      <c r="B779" s="2" t="s">
        <v>1752</v>
      </c>
      <c r="C779" s="5">
        <v>2006</v>
      </c>
      <c r="E779" s="5">
        <v>6012</v>
      </c>
    </row>
    <row r="780" spans="1:5" x14ac:dyDescent="0.25">
      <c r="A780" s="2" t="s">
        <v>1753</v>
      </c>
      <c r="B780" s="2" t="s">
        <v>1754</v>
      </c>
      <c r="C780" s="5">
        <v>2006</v>
      </c>
      <c r="E780" s="5">
        <v>6012</v>
      </c>
    </row>
    <row r="781" spans="1:5" x14ac:dyDescent="0.25">
      <c r="A781" s="2" t="s">
        <v>1755</v>
      </c>
      <c r="B781" s="2" t="s">
        <v>1756</v>
      </c>
      <c r="C781" s="5">
        <v>2006</v>
      </c>
      <c r="E781" s="5">
        <v>6012</v>
      </c>
    </row>
    <row r="782" spans="1:5" x14ac:dyDescent="0.25">
      <c r="A782" s="2" t="s">
        <v>1749</v>
      </c>
      <c r="B782" s="2" t="s">
        <v>1750</v>
      </c>
      <c r="C782" s="5">
        <v>2008</v>
      </c>
      <c r="E782" s="5">
        <v>6011</v>
      </c>
    </row>
    <row r="783" spans="1:5" x14ac:dyDescent="0.25">
      <c r="A783" s="2" t="s">
        <v>92</v>
      </c>
      <c r="B783" s="2" t="s">
        <v>93</v>
      </c>
      <c r="C783" s="5">
        <f>VALUE("2014")</f>
        <v>2014</v>
      </c>
      <c r="D783" s="2" t="s">
        <v>94</v>
      </c>
      <c r="E783" s="5">
        <f>VALUE("6009")</f>
        <v>6009</v>
      </c>
    </row>
    <row r="784" spans="1:5" x14ac:dyDescent="0.25">
      <c r="A784" s="2" t="s">
        <v>89</v>
      </c>
      <c r="B784" s="2" t="s">
        <v>90</v>
      </c>
      <c r="C784" s="5">
        <f>VALUE("2013")</f>
        <v>2013</v>
      </c>
      <c r="D784" s="2" t="s">
        <v>91</v>
      </c>
      <c r="E784" s="5">
        <f>VALUE("6009")</f>
        <v>6009</v>
      </c>
    </row>
    <row r="785" spans="1:5" x14ac:dyDescent="0.25">
      <c r="A785" s="2" t="s">
        <v>95</v>
      </c>
      <c r="B785" s="2" t="s">
        <v>96</v>
      </c>
      <c r="C785" s="5">
        <f>VALUE("2013")</f>
        <v>2013</v>
      </c>
      <c r="D785" s="2" t="s">
        <v>97</v>
      </c>
      <c r="E785" s="5">
        <f>VALUE("6009")</f>
        <v>6009</v>
      </c>
    </row>
    <row r="786" spans="1:5" x14ac:dyDescent="0.25">
      <c r="A786" s="2" t="s">
        <v>98</v>
      </c>
      <c r="B786" s="2" t="s">
        <v>99</v>
      </c>
      <c r="C786" s="5">
        <f>VALUE("2013")</f>
        <v>2013</v>
      </c>
      <c r="D786" s="2" t="s">
        <v>100</v>
      </c>
      <c r="E786" s="5">
        <f>VALUE("6009")</f>
        <v>6009</v>
      </c>
    </row>
    <row r="787" spans="1:5" x14ac:dyDescent="0.25">
      <c r="A787" s="2" t="s">
        <v>1746</v>
      </c>
      <c r="B787" s="2" t="s">
        <v>1747</v>
      </c>
      <c r="C787" s="5">
        <v>2007</v>
      </c>
      <c r="D787" s="2" t="s">
        <v>1748</v>
      </c>
      <c r="E787" s="5">
        <v>6008</v>
      </c>
    </row>
    <row r="788" spans="1:5" x14ac:dyDescent="0.25">
      <c r="A788" s="2" t="s">
        <v>86</v>
      </c>
      <c r="B788" s="2" t="s">
        <v>87</v>
      </c>
      <c r="C788" s="5">
        <f>VALUE("2017")</f>
        <v>2017</v>
      </c>
      <c r="D788" s="2" t="s">
        <v>88</v>
      </c>
      <c r="E788" s="5">
        <f>VALUE("6003")</f>
        <v>6003</v>
      </c>
    </row>
    <row r="789" spans="1:5" x14ac:dyDescent="0.25">
      <c r="A789" s="2" t="s">
        <v>2084</v>
      </c>
      <c r="B789" s="2" t="s">
        <v>79</v>
      </c>
      <c r="C789" s="5">
        <f>VALUE("2014")</f>
        <v>2014</v>
      </c>
      <c r="D789" s="2" t="s">
        <v>80</v>
      </c>
      <c r="E789" s="5">
        <f>VALUE("6003")</f>
        <v>6003</v>
      </c>
    </row>
    <row r="790" spans="1:5" x14ac:dyDescent="0.25">
      <c r="A790" s="2" t="s">
        <v>81</v>
      </c>
      <c r="B790" s="2" t="s">
        <v>82</v>
      </c>
      <c r="C790" s="5">
        <f>VALUE("2014")</f>
        <v>2014</v>
      </c>
      <c r="D790" s="2" t="s">
        <v>83</v>
      </c>
      <c r="E790" s="5">
        <f>VALUE("6003")</f>
        <v>6003</v>
      </c>
    </row>
    <row r="791" spans="1:5" x14ac:dyDescent="0.25">
      <c r="A791" s="2" t="s">
        <v>84</v>
      </c>
      <c r="B791" s="2" t="s">
        <v>85</v>
      </c>
      <c r="C791" s="5">
        <f>VALUE("2014")</f>
        <v>2014</v>
      </c>
      <c r="D791" s="2" t="s">
        <v>83</v>
      </c>
      <c r="E791" s="5">
        <f>VALUE("6003")</f>
        <v>6003</v>
      </c>
    </row>
    <row r="792" spans="1:5" x14ac:dyDescent="0.25">
      <c r="A792" s="2" t="s">
        <v>74</v>
      </c>
      <c r="B792" s="2" t="s">
        <v>72</v>
      </c>
      <c r="C792" s="5">
        <f>VALUE("2013")</f>
        <v>2013</v>
      </c>
      <c r="D792" s="2" t="s">
        <v>75</v>
      </c>
      <c r="E792" s="5">
        <f>VALUE("6002")</f>
        <v>6002</v>
      </c>
    </row>
    <row r="793" spans="1:5" x14ac:dyDescent="0.25">
      <c r="A793" s="2" t="s">
        <v>71</v>
      </c>
      <c r="B793" s="2" t="s">
        <v>72</v>
      </c>
      <c r="C793" s="5">
        <f>VALUE("2011")</f>
        <v>2011</v>
      </c>
      <c r="D793" s="2" t="s">
        <v>73</v>
      </c>
      <c r="E793" s="5">
        <f>VALUE("6002")</f>
        <v>6002</v>
      </c>
    </row>
    <row r="794" spans="1:5" x14ac:dyDescent="0.25">
      <c r="A794" s="2" t="s">
        <v>76</v>
      </c>
      <c r="B794" s="2" t="s">
        <v>77</v>
      </c>
      <c r="C794" s="5">
        <f>VALUE("2011")</f>
        <v>2011</v>
      </c>
      <c r="D794" s="2" t="s">
        <v>78</v>
      </c>
      <c r="E794" s="5">
        <f>VALUE("6002")</f>
        <v>6002</v>
      </c>
    </row>
    <row r="795" spans="1:5" x14ac:dyDescent="0.25">
      <c r="A795" s="2" t="s">
        <v>68</v>
      </c>
      <c r="B795" s="2" t="s">
        <v>69</v>
      </c>
      <c r="C795" s="5">
        <f>VALUE("2014")</f>
        <v>2014</v>
      </c>
      <c r="D795" s="2" t="s">
        <v>70</v>
      </c>
      <c r="E795" s="5">
        <f>VALUE("1110")</f>
        <v>1110</v>
      </c>
    </row>
    <row r="796" spans="1:5" x14ac:dyDescent="0.25">
      <c r="A796" s="2" t="s">
        <v>1744</v>
      </c>
      <c r="B796" s="2" t="s">
        <v>1745</v>
      </c>
      <c r="C796" s="5">
        <v>2009</v>
      </c>
      <c r="D796" s="2" t="s">
        <v>953</v>
      </c>
      <c r="E796" s="5">
        <v>1105</v>
      </c>
    </row>
    <row r="797" spans="1:5" x14ac:dyDescent="0.25">
      <c r="A797" s="2" t="s">
        <v>60</v>
      </c>
      <c r="B797" s="2" t="s">
        <v>61</v>
      </c>
      <c r="C797" s="5">
        <f>VALUE("2014")</f>
        <v>2014</v>
      </c>
      <c r="D797" s="2" t="s">
        <v>62</v>
      </c>
      <c r="E797" s="5">
        <f>VALUE("1101")</f>
        <v>1101</v>
      </c>
    </row>
    <row r="798" spans="1:5" x14ac:dyDescent="0.25">
      <c r="A798" s="2" t="s">
        <v>63</v>
      </c>
      <c r="B798" s="2" t="s">
        <v>64</v>
      </c>
      <c r="C798" s="5">
        <f>VALUE("2014")</f>
        <v>2014</v>
      </c>
      <c r="D798" s="2" t="s">
        <v>65</v>
      </c>
      <c r="E798" s="5">
        <f>VALUE("1101")</f>
        <v>1101</v>
      </c>
    </row>
    <row r="799" spans="1:5" x14ac:dyDescent="0.25">
      <c r="A799" s="2" t="s">
        <v>2085</v>
      </c>
      <c r="B799" s="2" t="s">
        <v>56</v>
      </c>
      <c r="C799" s="5">
        <f>VALUE("2013")</f>
        <v>2013</v>
      </c>
      <c r="D799" s="2" t="s">
        <v>57</v>
      </c>
      <c r="E799" s="5">
        <f>VALUE("1101")</f>
        <v>1101</v>
      </c>
    </row>
    <row r="800" spans="1:5" x14ac:dyDescent="0.25">
      <c r="A800" s="2" t="s">
        <v>66</v>
      </c>
      <c r="B800" s="2" t="s">
        <v>61</v>
      </c>
      <c r="C800" s="5">
        <f>VALUE("2013")</f>
        <v>2013</v>
      </c>
      <c r="D800" s="2" t="s">
        <v>67</v>
      </c>
      <c r="E800" s="5">
        <f>VALUE("1101")</f>
        <v>1101</v>
      </c>
    </row>
    <row r="801" spans="1:5" x14ac:dyDescent="0.25">
      <c r="A801" s="2" t="s">
        <v>2086</v>
      </c>
      <c r="B801" s="2" t="s">
        <v>58</v>
      </c>
      <c r="C801" s="5">
        <f>VALUE("2012")</f>
        <v>2012</v>
      </c>
      <c r="D801" s="2" t="s">
        <v>59</v>
      </c>
      <c r="E801" s="5">
        <f>VALUE("1101")</f>
        <v>1101</v>
      </c>
    </row>
    <row r="802" spans="1:5" x14ac:dyDescent="0.25">
      <c r="A802" s="2" t="s">
        <v>53</v>
      </c>
      <c r="B802" s="2" t="s">
        <v>54</v>
      </c>
      <c r="C802" s="5">
        <f>VALUE("2012")</f>
        <v>2012</v>
      </c>
      <c r="D802" s="2" t="s">
        <v>55</v>
      </c>
      <c r="E802" s="5">
        <f>VALUE("1094")</f>
        <v>1094</v>
      </c>
    </row>
    <row r="803" spans="1:5" x14ac:dyDescent="0.25">
      <c r="A803" s="2" t="s">
        <v>1742</v>
      </c>
      <c r="B803" s="2" t="s">
        <v>1743</v>
      </c>
      <c r="C803" s="5">
        <v>2009</v>
      </c>
      <c r="E803" s="5">
        <v>1092</v>
      </c>
    </row>
    <row r="804" spans="1:5" x14ac:dyDescent="0.25">
      <c r="A804" s="2" t="s">
        <v>1740</v>
      </c>
      <c r="B804" s="2" t="s">
        <v>1741</v>
      </c>
      <c r="C804" s="5">
        <v>2009</v>
      </c>
      <c r="E804" s="5">
        <v>1089</v>
      </c>
    </row>
    <row r="805" spans="1:5" x14ac:dyDescent="0.25">
      <c r="A805" s="2" t="s">
        <v>47</v>
      </c>
      <c r="B805" s="2" t="s">
        <v>48</v>
      </c>
      <c r="C805" s="5">
        <f>VALUE("2014")</f>
        <v>2014</v>
      </c>
      <c r="D805" s="2" t="s">
        <v>49</v>
      </c>
      <c r="E805" s="5">
        <f>VALUE("1087")</f>
        <v>1087</v>
      </c>
    </row>
    <row r="806" spans="1:5" x14ac:dyDescent="0.25">
      <c r="A806" s="2" t="s">
        <v>44</v>
      </c>
      <c r="B806" s="2" t="s">
        <v>45</v>
      </c>
      <c r="C806" s="5">
        <f>VALUE("2012")</f>
        <v>2012</v>
      </c>
      <c r="D806" s="2" t="s">
        <v>46</v>
      </c>
      <c r="E806" s="5">
        <f>VALUE("1087")</f>
        <v>1087</v>
      </c>
    </row>
    <row r="807" spans="1:5" x14ac:dyDescent="0.25">
      <c r="A807" s="2" t="s">
        <v>50</v>
      </c>
      <c r="B807" s="2" t="s">
        <v>51</v>
      </c>
      <c r="C807" s="5">
        <f>VALUE("2011")</f>
        <v>2011</v>
      </c>
      <c r="D807" s="2" t="s">
        <v>52</v>
      </c>
      <c r="E807" s="5">
        <f>VALUE("1087")</f>
        <v>1087</v>
      </c>
    </row>
    <row r="808" spans="1:5" x14ac:dyDescent="0.25">
      <c r="A808" s="2" t="s">
        <v>1739</v>
      </c>
      <c r="B808" s="2" t="s">
        <v>1667</v>
      </c>
      <c r="C808" s="5">
        <v>2009</v>
      </c>
      <c r="E808" s="5">
        <v>1086</v>
      </c>
    </row>
    <row r="809" spans="1:5" x14ac:dyDescent="0.25">
      <c r="A809" s="2" t="s">
        <v>2087</v>
      </c>
      <c r="B809" s="2" t="s">
        <v>42</v>
      </c>
      <c r="C809" s="5">
        <f>VALUE("2015")</f>
        <v>2015</v>
      </c>
      <c r="D809" s="2" t="s">
        <v>43</v>
      </c>
      <c r="E809" s="5">
        <f>VALUE("1064")</f>
        <v>1064</v>
      </c>
    </row>
    <row r="810" spans="1:5" x14ac:dyDescent="0.25">
      <c r="A810" s="2" t="s">
        <v>1737</v>
      </c>
      <c r="B810" s="2" t="s">
        <v>1738</v>
      </c>
      <c r="C810" s="5">
        <v>2008</v>
      </c>
      <c r="E810" s="5">
        <v>1057</v>
      </c>
    </row>
    <row r="811" spans="1:5" x14ac:dyDescent="0.25">
      <c r="A811" s="2" t="s">
        <v>39</v>
      </c>
      <c r="B811" s="2" t="s">
        <v>40</v>
      </c>
      <c r="C811" s="5">
        <f>VALUE("2010")</f>
        <v>2010</v>
      </c>
      <c r="D811" s="2" t="s">
        <v>41</v>
      </c>
      <c r="E811" s="5">
        <f>VALUE("1051")</f>
        <v>1051</v>
      </c>
    </row>
    <row r="812" spans="1:5" x14ac:dyDescent="0.25">
      <c r="A812" s="2" t="s">
        <v>1735</v>
      </c>
      <c r="B812" s="2" t="s">
        <v>1736</v>
      </c>
      <c r="C812" s="5">
        <v>2008</v>
      </c>
      <c r="E812" s="5">
        <v>1049</v>
      </c>
    </row>
    <row r="813" spans="1:5" x14ac:dyDescent="0.25">
      <c r="A813" s="2" t="s">
        <v>1733</v>
      </c>
      <c r="B813" s="2" t="s">
        <v>1734</v>
      </c>
      <c r="C813" s="5">
        <v>2008</v>
      </c>
      <c r="E813" s="5">
        <v>1048</v>
      </c>
    </row>
    <row r="814" spans="1:5" x14ac:dyDescent="0.25">
      <c r="A814" s="2" t="s">
        <v>36</v>
      </c>
      <c r="B814" s="2" t="s">
        <v>37</v>
      </c>
      <c r="C814" s="5">
        <f>VALUE("2011")</f>
        <v>2011</v>
      </c>
      <c r="D814" s="2" t="s">
        <v>38</v>
      </c>
      <c r="E814" s="5">
        <f>VALUE("1043")</f>
        <v>1043</v>
      </c>
    </row>
    <row r="815" spans="1:5" x14ac:dyDescent="0.25">
      <c r="A815" s="2" t="s">
        <v>1731</v>
      </c>
      <c r="B815" s="2" t="s">
        <v>1732</v>
      </c>
      <c r="C815" s="5">
        <v>2007</v>
      </c>
      <c r="E815" s="5">
        <v>1038</v>
      </c>
    </row>
    <row r="816" spans="1:5" x14ac:dyDescent="0.25">
      <c r="A816" s="2" t="s">
        <v>2139</v>
      </c>
      <c r="B816" s="2" t="s">
        <v>2140</v>
      </c>
      <c r="C816" s="5">
        <v>2017</v>
      </c>
      <c r="D816" s="9" t="s">
        <v>2141</v>
      </c>
      <c r="E816" s="5">
        <v>1033</v>
      </c>
    </row>
    <row r="817" spans="1:5" x14ac:dyDescent="0.25">
      <c r="A817" s="2" t="s">
        <v>33</v>
      </c>
      <c r="B817" s="2" t="s">
        <v>34</v>
      </c>
      <c r="C817" s="5">
        <f>VALUE("2017")</f>
        <v>2017</v>
      </c>
      <c r="D817" s="2" t="s">
        <v>35</v>
      </c>
      <c r="E817" s="5">
        <f>VALUE("1033")</f>
        <v>1033</v>
      </c>
    </row>
    <row r="818" spans="1:5" x14ac:dyDescent="0.25">
      <c r="A818" s="2" t="s">
        <v>30</v>
      </c>
      <c r="B818" s="2" t="s">
        <v>31</v>
      </c>
      <c r="C818" s="5">
        <f>VALUE("2015")</f>
        <v>2015</v>
      </c>
      <c r="D818" s="2" t="s">
        <v>32</v>
      </c>
      <c r="E818" s="5">
        <f>VALUE("1033")</f>
        <v>1033</v>
      </c>
    </row>
    <row r="819" spans="1:5" x14ac:dyDescent="0.25">
      <c r="A819" s="2" t="s">
        <v>27</v>
      </c>
      <c r="B819" s="2" t="s">
        <v>28</v>
      </c>
      <c r="C819" s="5">
        <f>VALUE("2014")</f>
        <v>2014</v>
      </c>
      <c r="D819" s="2" t="s">
        <v>29</v>
      </c>
      <c r="E819" s="5">
        <f>VALUE("1033")</f>
        <v>1033</v>
      </c>
    </row>
    <row r="820" spans="1:5" x14ac:dyDescent="0.25">
      <c r="A820" s="2" t="s">
        <v>24</v>
      </c>
      <c r="B820" s="2" t="s">
        <v>25</v>
      </c>
      <c r="C820" s="5">
        <f>VALUE("2012")</f>
        <v>2012</v>
      </c>
      <c r="D820" s="2" t="s">
        <v>26</v>
      </c>
      <c r="E820" s="5">
        <f>VALUE("1030")</f>
        <v>1030</v>
      </c>
    </row>
    <row r="821" spans="1:5" x14ac:dyDescent="0.25">
      <c r="A821" s="2" t="s">
        <v>1729</v>
      </c>
      <c r="B821" s="2" t="s">
        <v>1730</v>
      </c>
      <c r="C821" s="5">
        <v>2007</v>
      </c>
      <c r="E821" s="5">
        <v>1029</v>
      </c>
    </row>
    <row r="822" spans="1:5" x14ac:dyDescent="0.25">
      <c r="A822" s="2" t="s">
        <v>1727</v>
      </c>
      <c r="B822" s="2" t="s">
        <v>1728</v>
      </c>
      <c r="C822" s="5">
        <v>2008</v>
      </c>
      <c r="E822" s="5">
        <v>1027</v>
      </c>
    </row>
    <row r="823" spans="1:5" x14ac:dyDescent="0.25">
      <c r="A823" s="2" t="s">
        <v>1724</v>
      </c>
      <c r="B823" s="2" t="s">
        <v>1725</v>
      </c>
      <c r="C823" s="5">
        <v>2009</v>
      </c>
      <c r="D823" s="2" t="s">
        <v>1726</v>
      </c>
      <c r="E823" s="5">
        <v>1024</v>
      </c>
    </row>
    <row r="824" spans="1:5" x14ac:dyDescent="0.25">
      <c r="A824" s="2" t="s">
        <v>1720</v>
      </c>
      <c r="B824" s="2" t="s">
        <v>1721</v>
      </c>
      <c r="C824" s="5">
        <v>2007</v>
      </c>
      <c r="E824" s="5">
        <v>1020</v>
      </c>
    </row>
    <row r="825" spans="1:5" x14ac:dyDescent="0.25">
      <c r="A825" s="2" t="s">
        <v>1722</v>
      </c>
      <c r="B825" s="2" t="s">
        <v>1721</v>
      </c>
      <c r="C825" s="5">
        <v>2007</v>
      </c>
      <c r="E825" s="5">
        <v>1020</v>
      </c>
    </row>
    <row r="826" spans="1:5" x14ac:dyDescent="0.25">
      <c r="A826" s="2" t="s">
        <v>1723</v>
      </c>
      <c r="B826" s="2" t="s">
        <v>1721</v>
      </c>
      <c r="C826" s="5">
        <v>2007</v>
      </c>
      <c r="E826" s="5">
        <v>1020</v>
      </c>
    </row>
    <row r="827" spans="1:5" x14ac:dyDescent="0.25">
      <c r="A827" s="2" t="s">
        <v>1718</v>
      </c>
      <c r="B827" s="2" t="s">
        <v>1719</v>
      </c>
      <c r="C827" s="5">
        <v>2007</v>
      </c>
      <c r="E827" s="5">
        <v>1019</v>
      </c>
    </row>
    <row r="828" spans="1:5" x14ac:dyDescent="0.25">
      <c r="A828" s="2" t="s">
        <v>1716</v>
      </c>
      <c r="B828" s="2" t="s">
        <v>1717</v>
      </c>
      <c r="C828" s="5">
        <v>2007</v>
      </c>
      <c r="E828" s="5">
        <v>1018</v>
      </c>
    </row>
    <row r="829" spans="1:5" x14ac:dyDescent="0.25">
      <c r="A829" s="2" t="s">
        <v>1714</v>
      </c>
      <c r="B829" s="2" t="s">
        <v>1715</v>
      </c>
      <c r="C829" s="5">
        <v>2008</v>
      </c>
      <c r="E829" s="5">
        <v>1012</v>
      </c>
    </row>
    <row r="830" spans="1:5" x14ac:dyDescent="0.25">
      <c r="A830" s="2" t="s">
        <v>2089</v>
      </c>
      <c r="B830" s="2" t="s">
        <v>18</v>
      </c>
      <c r="C830" s="5">
        <f>VALUE("2006")</f>
        <v>2006</v>
      </c>
      <c r="D830" s="2" t="s">
        <v>19</v>
      </c>
      <c r="E830" s="5">
        <f>VALUE("1004")</f>
        <v>1004</v>
      </c>
    </row>
    <row r="831" spans="1:5" x14ac:dyDescent="0.25">
      <c r="A831" s="2" t="s">
        <v>20</v>
      </c>
      <c r="B831" s="2" t="s">
        <v>21</v>
      </c>
      <c r="C831" s="5">
        <f>VALUE("2006")</f>
        <v>2006</v>
      </c>
      <c r="D831" s="2" t="s">
        <v>22</v>
      </c>
      <c r="E831" s="5">
        <f>VALUE("1004")</f>
        <v>1004</v>
      </c>
    </row>
    <row r="832" spans="1:5" x14ac:dyDescent="0.25">
      <c r="A832" s="2" t="s">
        <v>2088</v>
      </c>
      <c r="B832" s="2" t="s">
        <v>23</v>
      </c>
      <c r="C832" s="5">
        <f>VALUE("2006")</f>
        <v>2006</v>
      </c>
      <c r="D832" s="2" t="s">
        <v>22</v>
      </c>
      <c r="E832" s="5">
        <f>VALUE("1004")</f>
        <v>1004</v>
      </c>
    </row>
    <row r="833" spans="1:5" x14ac:dyDescent="0.25">
      <c r="A833" s="2" t="s">
        <v>1712</v>
      </c>
      <c r="B833" s="2" t="s">
        <v>1713</v>
      </c>
      <c r="C833" s="5">
        <v>2007</v>
      </c>
      <c r="E833" s="5">
        <v>1001</v>
      </c>
    </row>
    <row r="834" spans="1:5" x14ac:dyDescent="0.25">
      <c r="A834" s="2" t="s">
        <v>1709</v>
      </c>
      <c r="B834" s="2" t="s">
        <v>1710</v>
      </c>
      <c r="C834" s="5">
        <v>2007</v>
      </c>
      <c r="E834" s="5">
        <v>660</v>
      </c>
    </row>
    <row r="835" spans="1:5" x14ac:dyDescent="0.25">
      <c r="A835" s="2" t="s">
        <v>1711</v>
      </c>
      <c r="B835" s="2" t="s">
        <v>1710</v>
      </c>
      <c r="C835" s="5">
        <v>2007</v>
      </c>
      <c r="E835" s="5">
        <v>660</v>
      </c>
    </row>
    <row r="836" spans="1:5" x14ac:dyDescent="0.25">
      <c r="A836" s="2" t="s">
        <v>1702</v>
      </c>
      <c r="B836" s="2" t="s">
        <v>1703</v>
      </c>
      <c r="C836" s="5">
        <v>2006</v>
      </c>
      <c r="D836" s="2" t="s">
        <v>1704</v>
      </c>
      <c r="E836" s="5">
        <v>659</v>
      </c>
    </row>
    <row r="837" spans="1:5" x14ac:dyDescent="0.25">
      <c r="A837" s="2" t="s">
        <v>1705</v>
      </c>
      <c r="B837" s="2" t="s">
        <v>1706</v>
      </c>
      <c r="C837" s="5">
        <v>2006</v>
      </c>
      <c r="D837" s="2" t="s">
        <v>591</v>
      </c>
      <c r="E837" s="5">
        <v>659</v>
      </c>
    </row>
    <row r="838" spans="1:5" x14ac:dyDescent="0.25">
      <c r="A838" s="2" t="s">
        <v>1659</v>
      </c>
      <c r="B838" s="2" t="s">
        <v>1707</v>
      </c>
      <c r="C838" s="5">
        <v>2006</v>
      </c>
      <c r="D838" s="2" t="s">
        <v>591</v>
      </c>
      <c r="E838" s="5">
        <v>659</v>
      </c>
    </row>
    <row r="839" spans="1:5" x14ac:dyDescent="0.25">
      <c r="A839" s="2" t="s">
        <v>1708</v>
      </c>
      <c r="B839" s="2" t="s">
        <v>1706</v>
      </c>
      <c r="C839" s="5">
        <v>2006</v>
      </c>
      <c r="D839" s="2" t="s">
        <v>591</v>
      </c>
      <c r="E839" s="5">
        <v>659</v>
      </c>
    </row>
    <row r="840" spans="1:5" x14ac:dyDescent="0.25">
      <c r="A840" s="2" t="s">
        <v>1700</v>
      </c>
      <c r="B840" s="2" t="s">
        <v>1696</v>
      </c>
      <c r="C840" s="5">
        <v>2007</v>
      </c>
      <c r="D840" s="2" t="s">
        <v>1697</v>
      </c>
      <c r="E840" s="5">
        <v>658</v>
      </c>
    </row>
    <row r="841" spans="1:5" x14ac:dyDescent="0.25">
      <c r="A841" s="2" t="s">
        <v>1701</v>
      </c>
      <c r="B841" s="2" t="s">
        <v>1696</v>
      </c>
      <c r="C841" s="5">
        <v>2007</v>
      </c>
      <c r="D841" s="2" t="s">
        <v>1697</v>
      </c>
      <c r="E841" s="5">
        <v>658</v>
      </c>
    </row>
    <row r="842" spans="1:5" x14ac:dyDescent="0.25">
      <c r="A842" s="2" t="s">
        <v>1695</v>
      </c>
      <c r="B842" s="2" t="s">
        <v>1696</v>
      </c>
      <c r="C842" s="5">
        <v>2006</v>
      </c>
      <c r="D842" s="2" t="s">
        <v>1697</v>
      </c>
      <c r="E842" s="5">
        <v>658</v>
      </c>
    </row>
    <row r="843" spans="1:5" x14ac:dyDescent="0.25">
      <c r="A843" s="2" t="s">
        <v>1698</v>
      </c>
      <c r="B843" s="2" t="s">
        <v>1699</v>
      </c>
      <c r="C843" s="5">
        <v>2006</v>
      </c>
      <c r="D843" s="2" t="s">
        <v>1697</v>
      </c>
      <c r="E843" s="5">
        <v>658</v>
      </c>
    </row>
    <row r="844" spans="1:5" x14ac:dyDescent="0.25">
      <c r="A844" s="2" t="s">
        <v>1693</v>
      </c>
      <c r="B844" s="2" t="s">
        <v>1694</v>
      </c>
      <c r="C844" s="5">
        <v>2006</v>
      </c>
      <c r="E844" s="5">
        <v>657</v>
      </c>
    </row>
    <row r="845" spans="1:5" x14ac:dyDescent="0.25">
      <c r="A845" s="2" t="s">
        <v>1689</v>
      </c>
      <c r="B845" s="2" t="s">
        <v>1688</v>
      </c>
      <c r="C845" s="5">
        <v>2010</v>
      </c>
      <c r="E845" s="5">
        <v>656</v>
      </c>
    </row>
    <row r="846" spans="1:5" x14ac:dyDescent="0.25">
      <c r="A846" s="2" t="s">
        <v>1687</v>
      </c>
      <c r="B846" s="2" t="s">
        <v>1688</v>
      </c>
      <c r="C846" s="5">
        <v>2009</v>
      </c>
      <c r="E846" s="5">
        <v>656</v>
      </c>
    </row>
    <row r="847" spans="1:5" x14ac:dyDescent="0.25">
      <c r="A847" s="2" t="s">
        <v>1690</v>
      </c>
      <c r="B847" s="2" t="s">
        <v>1691</v>
      </c>
      <c r="C847" s="5">
        <v>2009</v>
      </c>
      <c r="D847" s="2" t="s">
        <v>1692</v>
      </c>
      <c r="E847" s="5">
        <v>656</v>
      </c>
    </row>
    <row r="848" spans="1:5" x14ac:dyDescent="0.25">
      <c r="A848" s="2" t="s">
        <v>1680</v>
      </c>
      <c r="B848" s="2" t="s">
        <v>1681</v>
      </c>
      <c r="C848" s="5">
        <v>2007</v>
      </c>
      <c r="D848" s="2" t="s">
        <v>1676</v>
      </c>
      <c r="E848" s="5">
        <v>654</v>
      </c>
    </row>
    <row r="849" spans="1:5" x14ac:dyDescent="0.25">
      <c r="A849" s="2" t="s">
        <v>1682</v>
      </c>
      <c r="B849" s="2" t="s">
        <v>1683</v>
      </c>
      <c r="C849" s="5">
        <v>2007</v>
      </c>
      <c r="D849" s="2" t="s">
        <v>1676</v>
      </c>
      <c r="E849" s="5">
        <v>654</v>
      </c>
    </row>
    <row r="850" spans="1:5" x14ac:dyDescent="0.25">
      <c r="A850" s="2" t="s">
        <v>1684</v>
      </c>
      <c r="B850" s="2" t="s">
        <v>1683</v>
      </c>
      <c r="C850" s="5">
        <v>2007</v>
      </c>
      <c r="D850" s="2" t="s">
        <v>1676</v>
      </c>
      <c r="E850" s="5">
        <v>654</v>
      </c>
    </row>
    <row r="851" spans="1:5" x14ac:dyDescent="0.25">
      <c r="A851" s="2" t="s">
        <v>1685</v>
      </c>
      <c r="B851" s="2" t="s">
        <v>1686</v>
      </c>
      <c r="C851" s="5">
        <v>2007</v>
      </c>
      <c r="D851" s="2" t="s">
        <v>1676</v>
      </c>
      <c r="E851" s="5">
        <v>654</v>
      </c>
    </row>
    <row r="852" spans="1:5" x14ac:dyDescent="0.25">
      <c r="A852" s="2" t="s">
        <v>1678</v>
      </c>
      <c r="B852" s="2" t="s">
        <v>1679</v>
      </c>
      <c r="C852" s="5">
        <v>2008</v>
      </c>
      <c r="E852" s="5">
        <v>653</v>
      </c>
    </row>
    <row r="853" spans="1:5" x14ac:dyDescent="0.25">
      <c r="A853" s="2" t="s">
        <v>1626</v>
      </c>
      <c r="B853" s="2" t="s">
        <v>1677</v>
      </c>
      <c r="C853" s="5">
        <v>2005</v>
      </c>
      <c r="E853" s="5">
        <v>652</v>
      </c>
    </row>
    <row r="854" spans="1:5" x14ac:dyDescent="0.25">
      <c r="A854" s="2" t="s">
        <v>1674</v>
      </c>
      <c r="B854" s="2" t="s">
        <v>1675</v>
      </c>
      <c r="C854" s="5">
        <v>2007</v>
      </c>
      <c r="D854" s="2" t="s">
        <v>1676</v>
      </c>
      <c r="E854" s="5">
        <v>650</v>
      </c>
    </row>
    <row r="855" spans="1:5" x14ac:dyDescent="0.25">
      <c r="A855" s="2" t="s">
        <v>1672</v>
      </c>
      <c r="B855" s="2" t="s">
        <v>1673</v>
      </c>
      <c r="C855" s="5">
        <v>2004</v>
      </c>
      <c r="D855" s="2" t="s">
        <v>1633</v>
      </c>
      <c r="E855" s="5">
        <v>647</v>
      </c>
    </row>
    <row r="856" spans="1:5" x14ac:dyDescent="0.25">
      <c r="A856" s="2" t="s">
        <v>1670</v>
      </c>
      <c r="B856" s="2" t="s">
        <v>1671</v>
      </c>
      <c r="C856" s="5">
        <v>2007</v>
      </c>
      <c r="E856" s="5">
        <v>644</v>
      </c>
    </row>
    <row r="857" spans="1:5" x14ac:dyDescent="0.25">
      <c r="A857" s="2" t="s">
        <v>1668</v>
      </c>
      <c r="B857" s="2" t="s">
        <v>1669</v>
      </c>
      <c r="C857" s="5">
        <v>2006</v>
      </c>
      <c r="D857" s="2" t="s">
        <v>148</v>
      </c>
      <c r="E857" s="5">
        <v>644</v>
      </c>
    </row>
    <row r="858" spans="1:5" x14ac:dyDescent="0.25">
      <c r="A858" s="2" t="s">
        <v>1666</v>
      </c>
      <c r="B858" s="2" t="s">
        <v>1667</v>
      </c>
      <c r="C858" s="5">
        <v>2007</v>
      </c>
      <c r="E858" s="5">
        <v>642</v>
      </c>
    </row>
    <row r="859" spans="1:5" x14ac:dyDescent="0.25">
      <c r="A859" s="2" t="s">
        <v>1664</v>
      </c>
      <c r="B859" s="2" t="s">
        <v>1665</v>
      </c>
      <c r="C859" s="5">
        <v>2008</v>
      </c>
      <c r="E859" s="5">
        <v>638</v>
      </c>
    </row>
    <row r="860" spans="1:5" x14ac:dyDescent="0.25">
      <c r="A860" s="2" t="s">
        <v>1661</v>
      </c>
      <c r="B860" s="2" t="s">
        <v>1662</v>
      </c>
      <c r="C860" s="5">
        <v>2006</v>
      </c>
      <c r="D860" s="2" t="s">
        <v>1663</v>
      </c>
      <c r="E860" s="5">
        <v>635</v>
      </c>
    </row>
    <row r="861" spans="1:5" x14ac:dyDescent="0.25">
      <c r="A861" s="2" t="s">
        <v>1657</v>
      </c>
      <c r="B861" s="2" t="s">
        <v>1658</v>
      </c>
      <c r="C861" s="5">
        <v>2006</v>
      </c>
      <c r="D861" s="2" t="s">
        <v>591</v>
      </c>
      <c r="E861" s="5">
        <v>633</v>
      </c>
    </row>
    <row r="862" spans="1:5" x14ac:dyDescent="0.25">
      <c r="A862" s="2" t="s">
        <v>1659</v>
      </c>
      <c r="B862" s="2" t="s">
        <v>1660</v>
      </c>
      <c r="C862" s="5">
        <v>2006</v>
      </c>
      <c r="D862" s="2" t="s">
        <v>591</v>
      </c>
      <c r="E862" s="5">
        <v>633</v>
      </c>
    </row>
    <row r="863" spans="1:5" x14ac:dyDescent="0.25">
      <c r="A863" s="2" t="s">
        <v>1655</v>
      </c>
      <c r="B863" s="2" t="s">
        <v>1656</v>
      </c>
      <c r="C863" s="5">
        <v>2007</v>
      </c>
      <c r="D863" s="2" t="s">
        <v>1654</v>
      </c>
      <c r="E863" s="5">
        <v>630</v>
      </c>
    </row>
    <row r="864" spans="1:5" x14ac:dyDescent="0.25">
      <c r="A864" s="2" t="s">
        <v>1652</v>
      </c>
      <c r="B864" s="2" t="s">
        <v>1653</v>
      </c>
      <c r="C864" s="5">
        <v>2006</v>
      </c>
      <c r="D864" s="2" t="s">
        <v>1654</v>
      </c>
      <c r="E864" s="5">
        <v>630</v>
      </c>
    </row>
    <row r="865" spans="1:5" x14ac:dyDescent="0.25">
      <c r="A865" s="2" t="s">
        <v>1650</v>
      </c>
      <c r="B865" s="2" t="s">
        <v>1651</v>
      </c>
      <c r="C865" s="5">
        <v>2006</v>
      </c>
      <c r="E865" s="5">
        <v>620</v>
      </c>
    </row>
    <row r="866" spans="1:5" x14ac:dyDescent="0.25">
      <c r="A866" s="2" t="s">
        <v>1647</v>
      </c>
      <c r="B866" s="2" t="s">
        <v>1648</v>
      </c>
      <c r="C866" s="5">
        <v>2006</v>
      </c>
      <c r="D866" s="2" t="s">
        <v>1649</v>
      </c>
      <c r="E866" s="5">
        <v>619</v>
      </c>
    </row>
    <row r="867" spans="1:5" x14ac:dyDescent="0.25">
      <c r="A867" s="2" t="s">
        <v>1645</v>
      </c>
      <c r="B867" s="2" t="s">
        <v>1646</v>
      </c>
      <c r="C867" s="5">
        <v>2007</v>
      </c>
      <c r="E867" s="5">
        <v>617</v>
      </c>
    </row>
    <row r="868" spans="1:5" x14ac:dyDescent="0.25">
      <c r="A868" s="2" t="s">
        <v>1643</v>
      </c>
      <c r="B868" s="2" t="s">
        <v>1644</v>
      </c>
      <c r="C868" s="5">
        <v>2007</v>
      </c>
      <c r="E868" s="5">
        <v>616</v>
      </c>
    </row>
    <row r="869" spans="1:5" x14ac:dyDescent="0.25">
      <c r="A869" s="2" t="s">
        <v>1641</v>
      </c>
      <c r="B869" s="2" t="s">
        <v>1642</v>
      </c>
      <c r="C869" s="5">
        <v>2008</v>
      </c>
      <c r="E869" s="5">
        <v>613</v>
      </c>
    </row>
    <row r="870" spans="1:5" x14ac:dyDescent="0.25">
      <c r="A870" s="2" t="s">
        <v>1639</v>
      </c>
      <c r="B870" s="2" t="s">
        <v>1640</v>
      </c>
      <c r="C870" s="5">
        <v>2007</v>
      </c>
      <c r="E870" s="5">
        <v>613</v>
      </c>
    </row>
    <row r="871" spans="1:5" x14ac:dyDescent="0.25">
      <c r="A871" s="2" t="s">
        <v>1638</v>
      </c>
      <c r="B871" s="2" t="s">
        <v>1637</v>
      </c>
      <c r="C871" s="5">
        <v>2007</v>
      </c>
      <c r="E871" s="5">
        <v>611</v>
      </c>
    </row>
    <row r="872" spans="1:5" x14ac:dyDescent="0.25">
      <c r="A872" s="2" t="s">
        <v>1636</v>
      </c>
      <c r="B872" s="2" t="s">
        <v>1637</v>
      </c>
      <c r="C872" s="5">
        <v>2006</v>
      </c>
      <c r="D872" s="2" t="s">
        <v>735</v>
      </c>
      <c r="E872" s="5">
        <v>611</v>
      </c>
    </row>
    <row r="873" spans="1:5" x14ac:dyDescent="0.25">
      <c r="A873" s="2" t="s">
        <v>39</v>
      </c>
      <c r="B873" s="2" t="s">
        <v>1635</v>
      </c>
      <c r="C873" s="5">
        <v>2008</v>
      </c>
      <c r="E873" s="5">
        <v>607</v>
      </c>
    </row>
    <row r="874" spans="1:5" x14ac:dyDescent="0.25">
      <c r="A874" s="2" t="s">
        <v>1634</v>
      </c>
      <c r="B874" s="2" t="s">
        <v>1635</v>
      </c>
      <c r="C874" s="5">
        <v>2007</v>
      </c>
      <c r="E874" s="5">
        <v>607</v>
      </c>
    </row>
    <row r="875" spans="1:5" x14ac:dyDescent="0.25">
      <c r="A875" s="2" t="s">
        <v>1631</v>
      </c>
      <c r="B875" s="2" t="s">
        <v>1632</v>
      </c>
      <c r="C875" s="5">
        <v>2004</v>
      </c>
      <c r="D875" s="2" t="s">
        <v>1633</v>
      </c>
      <c r="E875" s="5">
        <v>603</v>
      </c>
    </row>
    <row r="876" spans="1:5" x14ac:dyDescent="0.25">
      <c r="A876" s="2" t="s">
        <v>1628</v>
      </c>
      <c r="B876" s="2" t="s">
        <v>1629</v>
      </c>
      <c r="C876" s="5">
        <v>2006</v>
      </c>
      <c r="D876" s="2" t="s">
        <v>1630</v>
      </c>
      <c r="E876" s="5">
        <v>601</v>
      </c>
    </row>
    <row r="877" spans="1:5" x14ac:dyDescent="0.25">
      <c r="A877" s="2" t="s">
        <v>1626</v>
      </c>
      <c r="B877" s="2" t="s">
        <v>1627</v>
      </c>
      <c r="C877" s="5">
        <v>2005</v>
      </c>
      <c r="E877" s="5">
        <v>601</v>
      </c>
    </row>
    <row r="878" spans="1:5" x14ac:dyDescent="0.25">
      <c r="A878" s="2" t="s">
        <v>1625</v>
      </c>
      <c r="B878" s="2" t="s">
        <v>1617</v>
      </c>
      <c r="C878" s="5">
        <v>2007</v>
      </c>
      <c r="E878" s="5">
        <v>524</v>
      </c>
    </row>
    <row r="879" spans="1:5" x14ac:dyDescent="0.25">
      <c r="A879" s="2" t="s">
        <v>13</v>
      </c>
      <c r="B879" s="2" t="s">
        <v>14</v>
      </c>
      <c r="C879" s="5">
        <f>VALUE("2012")</f>
        <v>2012</v>
      </c>
      <c r="D879" s="2" t="s">
        <v>15</v>
      </c>
      <c r="E879" s="5">
        <f>VALUE("0511")</f>
        <v>511</v>
      </c>
    </row>
    <row r="880" spans="1:5" x14ac:dyDescent="0.25">
      <c r="A880" s="2" t="s">
        <v>16</v>
      </c>
      <c r="B880" s="2" t="s">
        <v>14</v>
      </c>
      <c r="C880" s="5">
        <f>VALUE("2012")</f>
        <v>2012</v>
      </c>
      <c r="D880" s="2" t="s">
        <v>17</v>
      </c>
      <c r="E880" s="5">
        <f>VALUE("0511")</f>
        <v>511</v>
      </c>
    </row>
    <row r="881" spans="1:5" x14ac:dyDescent="0.25">
      <c r="A881" s="2" t="s">
        <v>10</v>
      </c>
      <c r="B881" s="2" t="s">
        <v>11</v>
      </c>
      <c r="C881" s="5">
        <f>VALUE("2010")</f>
        <v>2010</v>
      </c>
      <c r="D881" s="2" t="s">
        <v>12</v>
      </c>
      <c r="E881" s="5">
        <f>VALUE("0511")</f>
        <v>511</v>
      </c>
    </row>
    <row r="882" spans="1:5" x14ac:dyDescent="0.25">
      <c r="A882" s="2" t="s">
        <v>5</v>
      </c>
      <c r="B882" s="2" t="s">
        <v>6</v>
      </c>
      <c r="C882" s="5">
        <f>VALUE("2006")</f>
        <v>2006</v>
      </c>
      <c r="D882" s="2" t="s">
        <v>7</v>
      </c>
      <c r="E882" s="5">
        <f>VALUE("0434")</f>
        <v>434</v>
      </c>
    </row>
    <row r="883" spans="1:5" x14ac:dyDescent="0.25">
      <c r="A883" s="2" t="s">
        <v>8</v>
      </c>
      <c r="B883" s="2" t="s">
        <v>9</v>
      </c>
      <c r="C883" s="5">
        <f>VALUE("2006")</f>
        <v>2006</v>
      </c>
      <c r="D883" s="2" t="s">
        <v>7</v>
      </c>
      <c r="E883" s="5">
        <f>VALUE("0434")</f>
        <v>434</v>
      </c>
    </row>
    <row r="884" spans="1:5" x14ac:dyDescent="0.25">
      <c r="A884" s="2" t="s">
        <v>1616</v>
      </c>
      <c r="B884" s="2" t="s">
        <v>1617</v>
      </c>
      <c r="C884" s="5">
        <v>2006</v>
      </c>
      <c r="E884" s="5">
        <v>354</v>
      </c>
    </row>
    <row r="885" spans="1:5" x14ac:dyDescent="0.25">
      <c r="A885" s="2" t="s">
        <v>1618</v>
      </c>
      <c r="B885" s="2" t="s">
        <v>1619</v>
      </c>
      <c r="C885" s="5">
        <v>2006</v>
      </c>
      <c r="E885" s="5">
        <v>354</v>
      </c>
    </row>
    <row r="886" spans="1:5" x14ac:dyDescent="0.25">
      <c r="A886" s="2" t="s">
        <v>1620</v>
      </c>
      <c r="B886" s="2" t="s">
        <v>1621</v>
      </c>
      <c r="C886" s="5">
        <v>2006</v>
      </c>
      <c r="E886" s="5">
        <v>354</v>
      </c>
    </row>
    <row r="887" spans="1:5" x14ac:dyDescent="0.25">
      <c r="A887" s="2" t="s">
        <v>1622</v>
      </c>
      <c r="B887" s="2" t="s">
        <v>1623</v>
      </c>
      <c r="C887" s="5">
        <v>2006</v>
      </c>
      <c r="D887" s="2" t="s">
        <v>1624</v>
      </c>
      <c r="E887" s="5">
        <v>354</v>
      </c>
    </row>
    <row r="888" spans="1:5" x14ac:dyDescent="0.25">
      <c r="A888" s="2" t="s">
        <v>1614</v>
      </c>
      <c r="B888" s="2" t="s">
        <v>1615</v>
      </c>
      <c r="C888" s="5">
        <v>2003</v>
      </c>
      <c r="E888" s="5">
        <v>354</v>
      </c>
    </row>
    <row r="889" spans="1:5" x14ac:dyDescent="0.25">
      <c r="A889" s="2" t="s">
        <v>1612</v>
      </c>
      <c r="B889" s="2" t="s">
        <v>1613</v>
      </c>
      <c r="C889" s="5">
        <v>2008</v>
      </c>
      <c r="E889" s="5">
        <v>339</v>
      </c>
    </row>
    <row r="890" spans="1:5" x14ac:dyDescent="0.25">
      <c r="A890" s="2" t="s">
        <v>1609</v>
      </c>
      <c r="B890" s="2" t="s">
        <v>1610</v>
      </c>
      <c r="C890" s="5">
        <v>2007</v>
      </c>
      <c r="E890" s="5">
        <v>339</v>
      </c>
    </row>
    <row r="891" spans="1:5" x14ac:dyDescent="0.25">
      <c r="A891" s="2" t="s">
        <v>1611</v>
      </c>
      <c r="B891" s="2" t="s">
        <v>1610</v>
      </c>
      <c r="C891" s="5">
        <v>2007</v>
      </c>
      <c r="E891" s="5">
        <v>339</v>
      </c>
    </row>
    <row r="892" spans="1:5" x14ac:dyDescent="0.25">
      <c r="A892" s="2" t="s">
        <v>1605</v>
      </c>
      <c r="B892" s="2" t="s">
        <v>1606</v>
      </c>
      <c r="C892" s="5">
        <v>2006</v>
      </c>
      <c r="E892" s="5">
        <v>339</v>
      </c>
    </row>
    <row r="893" spans="1:5" x14ac:dyDescent="0.25">
      <c r="A893" s="2" t="s">
        <v>1607</v>
      </c>
      <c r="B893" s="2" t="s">
        <v>1608</v>
      </c>
      <c r="C893" s="5">
        <v>2006</v>
      </c>
      <c r="E893" s="5">
        <v>339</v>
      </c>
    </row>
  </sheetData>
  <sortState ref="A2:E893">
    <sortCondition descending="1" ref="E2:E893"/>
    <sortCondition descending="1" ref="C2:C893"/>
    <sortCondition ref="A2:A893"/>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Februari 2018</vt:lpstr>
    </vt:vector>
  </TitlesOfParts>
  <Company>CBS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Slingerland-Roos, mevr. P.</dc:creator>
  <cp:lastModifiedBy>Slingerland-Roos, mevr. P.</cp:lastModifiedBy>
  <dcterms:created xsi:type="dcterms:W3CDTF">2017-11-09T08:17:57Z</dcterms:created>
  <dcterms:modified xsi:type="dcterms:W3CDTF">2018-02-08T13:29:45Z</dcterms:modified>
</cp:coreProperties>
</file>